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30ef0cf9e77265/Documentos/QYV/Planeacion Anual/"/>
    </mc:Choice>
  </mc:AlternateContent>
  <xr:revisionPtr revIDLastSave="1" documentId="8_{E95FB3B2-FEA8-4E65-9232-85CA2356D7A1}" xr6:coauthVersionLast="47" xr6:coauthVersionMax="47" xr10:uidLastSave="{CA66E0E5-BE9D-4ECF-ADE9-AA414928CB5C}"/>
  <bookViews>
    <workbookView xWindow="-120" yWindow="-120" windowWidth="20730" windowHeight="11160" tabRatio="773" xr2:uid="{00000000-000D-0000-FFFF-FFFF00000000}"/>
  </bookViews>
  <sheets>
    <sheet name="PROYECCIONES" sheetId="36" r:id="rId1"/>
    <sheet name="Presupuesto Mensual" sheetId="74" state="hidden" r:id="rId2"/>
    <sheet name="Gastos Proyectados" sheetId="73" state="hidden" r:id="rId3"/>
    <sheet name="Prov Impuesto Dic 31" sheetId="49" r:id="rId4"/>
    <sheet name="Balance a Ene" sheetId="71" state="hidden" r:id="rId5"/>
    <sheet name="Balance a Feb" sheetId="70" state="hidden" r:id="rId6"/>
    <sheet name="Balance a Mar" sheetId="72" state="hidden" r:id="rId7"/>
    <sheet name="Balance a Abr" sheetId="68" state="hidden" r:id="rId8"/>
    <sheet name="Balance a May" sheetId="67" state="hidden" r:id="rId9"/>
    <sheet name="Balance a Jun" sheetId="58" state="hidden" r:id="rId10"/>
    <sheet name="Balance a Jul" sheetId="61" state="hidden" r:id="rId11"/>
    <sheet name="Balance a Ago" sheetId="62" state="hidden" r:id="rId12"/>
    <sheet name="Balance a Sep" sheetId="63" r:id="rId13"/>
    <sheet name="Balance a Oct" sheetId="64" r:id="rId14"/>
    <sheet name="Balance a Nov" sheetId="65" r:id="rId15"/>
    <sheet name="Balance a Dic" sheetId="66" r:id="rId16"/>
  </sheets>
  <externalReferences>
    <externalReference r:id="rId17"/>
  </externalReferences>
  <definedNames>
    <definedName name="_xlnm._FilterDatabase" localSheetId="7" hidden="1">'Balance a Abr'!$A$2:$I$300</definedName>
    <definedName name="_xlnm._FilterDatabase" localSheetId="11" hidden="1">'Balance a Ago'!$A$2:$I$2</definedName>
    <definedName name="_xlnm._FilterDatabase" localSheetId="4" hidden="1">'Balance a Ene'!$A$2:$I$300</definedName>
    <definedName name="_xlnm._FilterDatabase" localSheetId="5" hidden="1">'Balance a Feb'!$A$2:$I$300</definedName>
    <definedName name="_xlnm._FilterDatabase" localSheetId="10" hidden="1">'Balance a Jul'!$A$2:$I$2</definedName>
    <definedName name="_xlnm._FilterDatabase" localSheetId="9" hidden="1">'Balance a Jun'!$B$2:$N$169</definedName>
    <definedName name="_xlnm._FilterDatabase" localSheetId="6" hidden="1">'Balance a Mar'!$A$2:$I$300</definedName>
    <definedName name="_xlnm._FilterDatabase" localSheetId="8" hidden="1">'Balance a May'!$A$2:$I$300</definedName>
    <definedName name="_xlnm._FilterDatabase" localSheetId="14" hidden="1">'Balance a Nov'!$A$2:$G$300</definedName>
    <definedName name="_xlnm._FilterDatabase" localSheetId="12" hidden="1">'Balance a Sep'!$A$2:$G$2</definedName>
    <definedName name="_xlnm._FilterDatabase" localSheetId="0" hidden="1">PROYECCIONES!$A$41:$CL$133</definedName>
    <definedName name="a">#REF!</definedName>
    <definedName name="totalR77">[1]R77!$C$49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6" i="49" l="1"/>
  <c r="O85" i="49"/>
  <c r="N86" i="49"/>
  <c r="N85" i="49"/>
  <c r="M86" i="49"/>
  <c r="M85" i="49"/>
  <c r="M84" i="49"/>
  <c r="L86" i="49"/>
  <c r="L85" i="49"/>
  <c r="K86" i="49"/>
  <c r="K85" i="49"/>
  <c r="K84" i="49"/>
  <c r="J86" i="49"/>
  <c r="J85" i="49"/>
  <c r="I86" i="49"/>
  <c r="I85" i="49"/>
  <c r="I84" i="49"/>
  <c r="H86" i="49"/>
  <c r="H85" i="49"/>
  <c r="G86" i="49"/>
  <c r="G85" i="49"/>
  <c r="G84" i="49"/>
  <c r="F86" i="49"/>
  <c r="F85" i="49"/>
  <c r="E86" i="49"/>
  <c r="E85" i="49"/>
  <c r="E84" i="49"/>
  <c r="D86" i="49"/>
  <c r="D85" i="49"/>
  <c r="C36" i="49"/>
  <c r="C84" i="49"/>
  <c r="C86" i="49"/>
  <c r="O62" i="49"/>
  <c r="O61" i="49"/>
  <c r="O41" i="49"/>
  <c r="O43" i="49"/>
  <c r="O44" i="49"/>
  <c r="O45" i="49"/>
  <c r="O46" i="49"/>
  <c r="O47" i="49"/>
  <c r="O48" i="49"/>
  <c r="O49" i="49"/>
  <c r="O50" i="49"/>
  <c r="O51" i="49"/>
  <c r="O52" i="49"/>
  <c r="O53" i="49"/>
  <c r="O54" i="49"/>
  <c r="O55" i="49"/>
  <c r="O40" i="49"/>
  <c r="O22" i="49"/>
  <c r="O24" i="49"/>
  <c r="O25" i="49"/>
  <c r="O27" i="49"/>
  <c r="O29" i="49"/>
  <c r="O30" i="49"/>
  <c r="O32" i="49"/>
  <c r="O34" i="49"/>
  <c r="K13" i="49"/>
  <c r="I13" i="49"/>
  <c r="G13" i="49"/>
  <c r="E13" i="49"/>
  <c r="C13" i="49"/>
  <c r="O12" i="49"/>
  <c r="M36" i="49"/>
  <c r="K36" i="49"/>
  <c r="I36" i="49"/>
  <c r="G36" i="49"/>
  <c r="E36" i="49"/>
  <c r="C169" i="36"/>
  <c r="C168" i="36"/>
  <c r="C167" i="36"/>
  <c r="C166" i="36"/>
  <c r="C165" i="36"/>
  <c r="C164" i="36"/>
  <c r="C161" i="36"/>
  <c r="C160" i="36"/>
  <c r="C159" i="36"/>
  <c r="C158" i="36"/>
  <c r="C157" i="36"/>
  <c r="C156" i="36"/>
  <c r="C155" i="36"/>
  <c r="C154" i="36"/>
  <c r="C153" i="36"/>
  <c r="C152" i="36"/>
  <c r="C151" i="36"/>
  <c r="C148" i="36"/>
  <c r="C147" i="36"/>
  <c r="C146" i="36"/>
  <c r="C145" i="36"/>
  <c r="C144" i="36"/>
  <c r="C143" i="36"/>
  <c r="C142" i="36"/>
  <c r="C141" i="36"/>
  <c r="C140" i="36"/>
  <c r="C139" i="36"/>
  <c r="C138" i="36"/>
  <c r="C137" i="36"/>
  <c r="C136" i="36"/>
  <c r="C133" i="36"/>
  <c r="C132" i="36"/>
  <c r="C131" i="36"/>
  <c r="C130" i="36"/>
  <c r="C129" i="36"/>
  <c r="C128" i="36"/>
  <c r="C127" i="36"/>
  <c r="C126" i="36"/>
  <c r="C125" i="36"/>
  <c r="C124" i="36"/>
  <c r="C123" i="36"/>
  <c r="C122" i="36"/>
  <c r="C121" i="36"/>
  <c r="C120" i="36"/>
  <c r="C119" i="36"/>
  <c r="C118" i="36"/>
  <c r="C117" i="36"/>
  <c r="C116" i="36"/>
  <c r="C115" i="36"/>
  <c r="C114" i="36"/>
  <c r="C113" i="36"/>
  <c r="C112" i="36"/>
  <c r="C111" i="36"/>
  <c r="C110" i="36"/>
  <c r="C109" i="36"/>
  <c r="C108" i="36"/>
  <c r="C107" i="36"/>
  <c r="C106" i="36"/>
  <c r="C105" i="36"/>
  <c r="C104" i="36"/>
  <c r="C103" i="36"/>
  <c r="C102" i="36"/>
  <c r="C101" i="36"/>
  <c r="C100" i="36"/>
  <c r="C99" i="36"/>
  <c r="C98" i="36"/>
  <c r="C97" i="36"/>
  <c r="C96" i="36"/>
  <c r="C95" i="36"/>
  <c r="C94" i="36"/>
  <c r="C93" i="36"/>
  <c r="C92" i="36"/>
  <c r="C91" i="36"/>
  <c r="C90" i="36"/>
  <c r="C89" i="36"/>
  <c r="C88" i="36"/>
  <c r="C87" i="36"/>
  <c r="C86" i="36"/>
  <c r="C85" i="36"/>
  <c r="C84" i="36"/>
  <c r="C83" i="36"/>
  <c r="C82" i="36"/>
  <c r="C81" i="36"/>
  <c r="C80" i="36"/>
  <c r="C79" i="36"/>
  <c r="C78" i="36"/>
  <c r="C77" i="36"/>
  <c r="C76" i="36"/>
  <c r="C75" i="36"/>
  <c r="C74" i="36"/>
  <c r="C73" i="36"/>
  <c r="C72" i="36"/>
  <c r="C71" i="36"/>
  <c r="C70" i="36"/>
  <c r="C69" i="36"/>
  <c r="C68" i="36"/>
  <c r="C67" i="36"/>
  <c r="C66" i="36"/>
  <c r="C65" i="36"/>
  <c r="C64" i="36"/>
  <c r="C63" i="36"/>
  <c r="C62" i="36"/>
  <c r="C61" i="36"/>
  <c r="C60" i="36"/>
  <c r="C59" i="36"/>
  <c r="C58" i="36"/>
  <c r="C57" i="36"/>
  <c r="C56" i="36"/>
  <c r="C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2" i="36"/>
  <c r="C19" i="36"/>
  <c r="C18" i="36"/>
  <c r="C17" i="36"/>
  <c r="C16" i="36"/>
  <c r="C13" i="36"/>
  <c r="C11" i="36"/>
  <c r="C10" i="36"/>
  <c r="C12" i="36"/>
  <c r="AR12" i="36"/>
  <c r="C7" i="36"/>
  <c r="C8" i="36"/>
  <c r="C9" i="36"/>
  <c r="CH12" i="36" l="1"/>
  <c r="CA12" i="36"/>
  <c r="BT12" i="36"/>
  <c r="BM12" i="36"/>
  <c r="BK12" i="36" s="1"/>
  <c r="BF12" i="36"/>
  <c r="AY12" i="36"/>
  <c r="AK12" i="36"/>
  <c r="AD12" i="36"/>
  <c r="W12" i="36"/>
  <c r="P12" i="36"/>
  <c r="I12" i="36"/>
  <c r="E105" i="36"/>
  <c r="H105" i="36"/>
  <c r="I105" i="36"/>
  <c r="G105" i="36" s="1"/>
  <c r="J105" i="36"/>
  <c r="L105" i="36"/>
  <c r="O105" i="36"/>
  <c r="P105" i="36"/>
  <c r="N105" i="36" s="1"/>
  <c r="Q105" i="36"/>
  <c r="S105" i="36"/>
  <c r="V105" i="36"/>
  <c r="W105" i="36"/>
  <c r="U105" i="36" s="1"/>
  <c r="X105" i="36"/>
  <c r="Z105" i="36"/>
  <c r="AC105" i="36"/>
  <c r="AD105" i="36"/>
  <c r="AB105" i="36" s="1"/>
  <c r="AE105" i="36"/>
  <c r="AG105" i="36"/>
  <c r="AJ105" i="36"/>
  <c r="AK105" i="36"/>
  <c r="AI105" i="36" s="1"/>
  <c r="AL105" i="36"/>
  <c r="AN105" i="36"/>
  <c r="AQ105" i="36"/>
  <c r="AR105" i="36"/>
  <c r="AP105" i="36" s="1"/>
  <c r="AS105" i="36"/>
  <c r="AU105" i="36"/>
  <c r="AX105" i="36"/>
  <c r="AY105" i="36"/>
  <c r="AW105" i="36" s="1"/>
  <c r="AZ105" i="36"/>
  <c r="BB105" i="36"/>
  <c r="BE105" i="36"/>
  <c r="BF105" i="36"/>
  <c r="BD105" i="36" s="1"/>
  <c r="BG105" i="36"/>
  <c r="BI105" i="36"/>
  <c r="BL105" i="36"/>
  <c r="BM105" i="36"/>
  <c r="BK105" i="36" s="1"/>
  <c r="BN105" i="36"/>
  <c r="BP105" i="36"/>
  <c r="BS105" i="36"/>
  <c r="BT105" i="36"/>
  <c r="BR105" i="36" s="1"/>
  <c r="BU105" i="36"/>
  <c r="BW105" i="36"/>
  <c r="BZ105" i="36"/>
  <c r="CA105" i="36"/>
  <c r="BY105" i="36" s="1"/>
  <c r="CB105" i="36"/>
  <c r="CD105" i="36"/>
  <c r="CG105" i="36"/>
  <c r="CH105" i="36"/>
  <c r="CF105" i="36" s="1"/>
  <c r="CI105" i="36"/>
  <c r="E52" i="36"/>
  <c r="H52" i="36"/>
  <c r="I52" i="36"/>
  <c r="G52" i="36" s="1"/>
  <c r="J52" i="36"/>
  <c r="L52" i="36"/>
  <c r="O52" i="36"/>
  <c r="P52" i="36"/>
  <c r="N52" i="36" s="1"/>
  <c r="Q52" i="36"/>
  <c r="S52" i="36"/>
  <c r="V52" i="36"/>
  <c r="W52" i="36"/>
  <c r="U52" i="36" s="1"/>
  <c r="X52" i="36"/>
  <c r="Z52" i="36"/>
  <c r="AC52" i="36"/>
  <c r="AD52" i="36"/>
  <c r="AB52" i="36" s="1"/>
  <c r="AE52" i="36"/>
  <c r="AG52" i="36"/>
  <c r="AJ52" i="36"/>
  <c r="AK52" i="36"/>
  <c r="AI52" i="36" s="1"/>
  <c r="AL52" i="36"/>
  <c r="AN52" i="36"/>
  <c r="AQ52" i="36"/>
  <c r="AR52" i="36"/>
  <c r="AP52" i="36" s="1"/>
  <c r="AS52" i="36"/>
  <c r="AU52" i="36"/>
  <c r="AX52" i="36"/>
  <c r="AY52" i="36"/>
  <c r="AW52" i="36" s="1"/>
  <c r="AZ52" i="36"/>
  <c r="BB52" i="36"/>
  <c r="BE52" i="36"/>
  <c r="BF52" i="36"/>
  <c r="BD52" i="36" s="1"/>
  <c r="BG52" i="36"/>
  <c r="BI52" i="36"/>
  <c r="BL52" i="36"/>
  <c r="BM52" i="36"/>
  <c r="BK52" i="36" s="1"/>
  <c r="BN52" i="36"/>
  <c r="BP52" i="36"/>
  <c r="BS52" i="36"/>
  <c r="BT52" i="36"/>
  <c r="BR52" i="36" s="1"/>
  <c r="BU52" i="36"/>
  <c r="BW52" i="36"/>
  <c r="BZ52" i="36"/>
  <c r="CA52" i="36"/>
  <c r="BY52" i="36" s="1"/>
  <c r="CB52" i="36"/>
  <c r="CD52" i="36"/>
  <c r="CG52" i="36"/>
  <c r="CH52" i="36"/>
  <c r="CF52" i="36" s="1"/>
  <c r="CI52" i="36"/>
  <c r="AR8" i="36"/>
  <c r="E18" i="36"/>
  <c r="H18" i="36"/>
  <c r="I18" i="36"/>
  <c r="G18" i="36" s="1"/>
  <c r="J18" i="36"/>
  <c r="L18" i="36"/>
  <c r="O18" i="36"/>
  <c r="P18" i="36"/>
  <c r="N18" i="36" s="1"/>
  <c r="Q18" i="36"/>
  <c r="S18" i="36"/>
  <c r="V18" i="36"/>
  <c r="W18" i="36"/>
  <c r="U18" i="36" s="1"/>
  <c r="X18" i="36"/>
  <c r="Z18" i="36"/>
  <c r="AC18" i="36"/>
  <c r="AD18" i="36"/>
  <c r="AB18" i="36" s="1"/>
  <c r="AE18" i="36"/>
  <c r="AG18" i="36"/>
  <c r="AJ18" i="36"/>
  <c r="AK18" i="36"/>
  <c r="AI18" i="36" s="1"/>
  <c r="AL18" i="36"/>
  <c r="AN18" i="36"/>
  <c r="AQ18" i="36"/>
  <c r="AR18" i="36"/>
  <c r="AP18" i="36" s="1"/>
  <c r="AS18" i="36"/>
  <c r="AU18" i="36"/>
  <c r="AX18" i="36"/>
  <c r="AY18" i="36"/>
  <c r="AW18" i="36" s="1"/>
  <c r="AZ18" i="36"/>
  <c r="BB18" i="36"/>
  <c r="BE18" i="36"/>
  <c r="BF18" i="36"/>
  <c r="BD18" i="36" s="1"/>
  <c r="BG18" i="36"/>
  <c r="BI18" i="36"/>
  <c r="BL18" i="36"/>
  <c r="BM18" i="36"/>
  <c r="BK18" i="36" s="1"/>
  <c r="BN18" i="36"/>
  <c r="BP18" i="36"/>
  <c r="BS18" i="36"/>
  <c r="BT18" i="36"/>
  <c r="BR18" i="36" s="1"/>
  <c r="BU18" i="36"/>
  <c r="BW18" i="36"/>
  <c r="BZ18" i="36"/>
  <c r="CA18" i="36"/>
  <c r="BY18" i="36" s="1"/>
  <c r="CB18" i="36"/>
  <c r="CD18" i="36"/>
  <c r="CG18" i="36"/>
  <c r="CH18" i="36"/>
  <c r="CF18" i="36" s="1"/>
  <c r="CI18" i="36"/>
  <c r="E17" i="36"/>
  <c r="H17" i="36"/>
  <c r="I17" i="36"/>
  <c r="G17" i="36" s="1"/>
  <c r="J17" i="36"/>
  <c r="L17" i="36"/>
  <c r="O17" i="36"/>
  <c r="P17" i="36"/>
  <c r="N17" i="36" s="1"/>
  <c r="Q17" i="36"/>
  <c r="S17" i="36"/>
  <c r="V17" i="36"/>
  <c r="W17" i="36"/>
  <c r="U17" i="36" s="1"/>
  <c r="X17" i="36"/>
  <c r="Z17" i="36"/>
  <c r="AC17" i="36"/>
  <c r="AD17" i="36"/>
  <c r="AB17" i="36" s="1"/>
  <c r="AE17" i="36"/>
  <c r="AG17" i="36"/>
  <c r="AJ17" i="36"/>
  <c r="AK17" i="36"/>
  <c r="AI17" i="36" s="1"/>
  <c r="AL17" i="36"/>
  <c r="AN17" i="36"/>
  <c r="AQ17" i="36"/>
  <c r="AR17" i="36"/>
  <c r="AP17" i="36" s="1"/>
  <c r="AS17" i="36"/>
  <c r="AU17" i="36"/>
  <c r="AX17" i="36"/>
  <c r="AY17" i="36"/>
  <c r="AW17" i="36" s="1"/>
  <c r="AZ17" i="36"/>
  <c r="BB17" i="36"/>
  <c r="BE17" i="36"/>
  <c r="BF17" i="36"/>
  <c r="BD17" i="36" s="1"/>
  <c r="BG17" i="36"/>
  <c r="BI17" i="36"/>
  <c r="BL17" i="36"/>
  <c r="BM17" i="36"/>
  <c r="BK17" i="36" s="1"/>
  <c r="BN17" i="36"/>
  <c r="BP17" i="36"/>
  <c r="BS17" i="36"/>
  <c r="BT17" i="36"/>
  <c r="BR17" i="36" s="1"/>
  <c r="BU17" i="36"/>
  <c r="BW17" i="36"/>
  <c r="BZ17" i="36"/>
  <c r="CA17" i="36"/>
  <c r="BY17" i="36" s="1"/>
  <c r="CB17" i="36"/>
  <c r="CD17" i="36"/>
  <c r="CG17" i="36"/>
  <c r="CH17" i="36"/>
  <c r="CF17" i="36" s="1"/>
  <c r="CI17" i="36"/>
  <c r="P7" i="36"/>
  <c r="E13" i="36"/>
  <c r="H13" i="36"/>
  <c r="I13" i="36"/>
  <c r="G13" i="36" s="1"/>
  <c r="J13" i="36"/>
  <c r="L13" i="36"/>
  <c r="O13" i="36"/>
  <c r="P13" i="36"/>
  <c r="N13" i="36" s="1"/>
  <c r="Q13" i="36"/>
  <c r="S13" i="36"/>
  <c r="V13" i="36"/>
  <c r="W13" i="36"/>
  <c r="U13" i="36" s="1"/>
  <c r="X13" i="36"/>
  <c r="Z13" i="36"/>
  <c r="AC13" i="36"/>
  <c r="AD13" i="36"/>
  <c r="AB13" i="36" s="1"/>
  <c r="AE13" i="36"/>
  <c r="AG13" i="36"/>
  <c r="AJ13" i="36"/>
  <c r="AK13" i="36"/>
  <c r="AI13" i="36" s="1"/>
  <c r="AL13" i="36"/>
  <c r="AN13" i="36"/>
  <c r="AQ13" i="36"/>
  <c r="AR13" i="36"/>
  <c r="AP13" i="36" s="1"/>
  <c r="AS13" i="36"/>
  <c r="AU13" i="36"/>
  <c r="AX13" i="36"/>
  <c r="AY13" i="36"/>
  <c r="AW13" i="36" s="1"/>
  <c r="AZ13" i="36"/>
  <c r="BB13" i="36"/>
  <c r="BE13" i="36"/>
  <c r="BF13" i="36"/>
  <c r="BD13" i="36" s="1"/>
  <c r="BG13" i="36"/>
  <c r="BI13" i="36"/>
  <c r="BL13" i="36"/>
  <c r="BM13" i="36"/>
  <c r="BK13" i="36" s="1"/>
  <c r="BN13" i="36"/>
  <c r="BP13" i="36"/>
  <c r="BS13" i="36"/>
  <c r="BT13" i="36"/>
  <c r="BR13" i="36" s="1"/>
  <c r="BU13" i="36"/>
  <c r="BW13" i="36"/>
  <c r="BZ13" i="36"/>
  <c r="CA13" i="36"/>
  <c r="BY13" i="36" s="1"/>
  <c r="CB13" i="36"/>
  <c r="CD13" i="36"/>
  <c r="CG13" i="36"/>
  <c r="CH13" i="36"/>
  <c r="CF13" i="36" s="1"/>
  <c r="CI13" i="36"/>
  <c r="AA25" i="36" l="1"/>
  <c r="E157" i="36"/>
  <c r="H157" i="36"/>
  <c r="I157" i="36"/>
  <c r="G157" i="36" s="1"/>
  <c r="J157" i="36"/>
  <c r="L157" i="36"/>
  <c r="O157" i="36"/>
  <c r="P157" i="36"/>
  <c r="N157" i="36" s="1"/>
  <c r="Q157" i="36"/>
  <c r="S157" i="36"/>
  <c r="V157" i="36"/>
  <c r="W157" i="36"/>
  <c r="U157" i="36" s="1"/>
  <c r="X157" i="36"/>
  <c r="Z157" i="36"/>
  <c r="AC157" i="36"/>
  <c r="AD157" i="36"/>
  <c r="AB157" i="36" s="1"/>
  <c r="AE157" i="36"/>
  <c r="AG157" i="36"/>
  <c r="AJ157" i="36"/>
  <c r="AK157" i="36"/>
  <c r="AI157" i="36" s="1"/>
  <c r="AL157" i="36"/>
  <c r="AN157" i="36"/>
  <c r="AQ157" i="36"/>
  <c r="AR157" i="36"/>
  <c r="AP157" i="36" s="1"/>
  <c r="AS157" i="36"/>
  <c r="AU157" i="36"/>
  <c r="AX157" i="36"/>
  <c r="AY157" i="36"/>
  <c r="AW157" i="36" s="1"/>
  <c r="AZ157" i="36"/>
  <c r="BB157" i="36"/>
  <c r="BE157" i="36"/>
  <c r="BF157" i="36"/>
  <c r="BD157" i="36" s="1"/>
  <c r="BG157" i="36"/>
  <c r="BI157" i="36"/>
  <c r="BL157" i="36"/>
  <c r="BM157" i="36"/>
  <c r="BK157" i="36" s="1"/>
  <c r="BN157" i="36"/>
  <c r="BP157" i="36"/>
  <c r="BS157" i="36"/>
  <c r="BT157" i="36"/>
  <c r="BR157" i="36" s="1"/>
  <c r="BU157" i="36"/>
  <c r="BW157" i="36"/>
  <c r="BZ157" i="36"/>
  <c r="CA157" i="36"/>
  <c r="BY157" i="36" s="1"/>
  <c r="CB157" i="36"/>
  <c r="CD157" i="36"/>
  <c r="CG157" i="36"/>
  <c r="CH157" i="36"/>
  <c r="CF157" i="36" s="1"/>
  <c r="CI157" i="36"/>
  <c r="E156" i="36"/>
  <c r="H156" i="36"/>
  <c r="I156" i="36"/>
  <c r="G156" i="36" s="1"/>
  <c r="J156" i="36"/>
  <c r="L156" i="36"/>
  <c r="O156" i="36"/>
  <c r="P156" i="36"/>
  <c r="N156" i="36" s="1"/>
  <c r="Q156" i="36"/>
  <c r="S156" i="36"/>
  <c r="V156" i="36"/>
  <c r="W156" i="36"/>
  <c r="U156" i="36" s="1"/>
  <c r="X156" i="36"/>
  <c r="Z156" i="36"/>
  <c r="AC156" i="36"/>
  <c r="AD156" i="36"/>
  <c r="AB156" i="36" s="1"/>
  <c r="AE156" i="36"/>
  <c r="AG156" i="36"/>
  <c r="AJ156" i="36"/>
  <c r="AK156" i="36"/>
  <c r="AI156" i="36" s="1"/>
  <c r="AL156" i="36"/>
  <c r="AN156" i="36"/>
  <c r="AQ156" i="36"/>
  <c r="AR156" i="36"/>
  <c r="AP156" i="36" s="1"/>
  <c r="AS156" i="36"/>
  <c r="AU156" i="36"/>
  <c r="AX156" i="36"/>
  <c r="AY156" i="36"/>
  <c r="AW156" i="36" s="1"/>
  <c r="AZ156" i="36"/>
  <c r="BB156" i="36"/>
  <c r="BE156" i="36"/>
  <c r="BF156" i="36"/>
  <c r="BD156" i="36" s="1"/>
  <c r="BG156" i="36"/>
  <c r="BI156" i="36"/>
  <c r="BL156" i="36"/>
  <c r="BM156" i="36"/>
  <c r="BK156" i="36" s="1"/>
  <c r="BN156" i="36"/>
  <c r="BP156" i="36"/>
  <c r="BS156" i="36"/>
  <c r="BT156" i="36"/>
  <c r="BR156" i="36" s="1"/>
  <c r="BU156" i="36"/>
  <c r="BW156" i="36"/>
  <c r="BZ156" i="36"/>
  <c r="CA156" i="36"/>
  <c r="BY156" i="36" s="1"/>
  <c r="CB156" i="36"/>
  <c r="CD156" i="36"/>
  <c r="CG156" i="36"/>
  <c r="CH156" i="36"/>
  <c r="CF156" i="36" s="1"/>
  <c r="CI156" i="36"/>
  <c r="E136" i="36"/>
  <c r="H136" i="36"/>
  <c r="I136" i="36"/>
  <c r="G136" i="36" s="1"/>
  <c r="J136" i="36"/>
  <c r="L136" i="36"/>
  <c r="O136" i="36"/>
  <c r="P136" i="36"/>
  <c r="N136" i="36" s="1"/>
  <c r="Q136" i="36"/>
  <c r="S136" i="36"/>
  <c r="V136" i="36"/>
  <c r="W136" i="36"/>
  <c r="U136" i="36" s="1"/>
  <c r="X136" i="36"/>
  <c r="Z136" i="36"/>
  <c r="AC136" i="36"/>
  <c r="AD136" i="36"/>
  <c r="AB136" i="36" s="1"/>
  <c r="AE136" i="36"/>
  <c r="AG136" i="36"/>
  <c r="AJ136" i="36"/>
  <c r="AK136" i="36"/>
  <c r="AI136" i="36" s="1"/>
  <c r="AL136" i="36"/>
  <c r="AN136" i="36"/>
  <c r="AQ136" i="36"/>
  <c r="AR136" i="36"/>
  <c r="AP136" i="36" s="1"/>
  <c r="AS136" i="36"/>
  <c r="AU136" i="36"/>
  <c r="AX136" i="36"/>
  <c r="AY136" i="36"/>
  <c r="AW136" i="36" s="1"/>
  <c r="AZ136" i="36"/>
  <c r="BB136" i="36"/>
  <c r="BE136" i="36"/>
  <c r="BF136" i="36"/>
  <c r="BD136" i="36" s="1"/>
  <c r="BG136" i="36"/>
  <c r="BI136" i="36"/>
  <c r="BL136" i="36"/>
  <c r="BM136" i="36"/>
  <c r="BK136" i="36" s="1"/>
  <c r="BN136" i="36"/>
  <c r="BP136" i="36"/>
  <c r="BS136" i="36"/>
  <c r="BT136" i="36"/>
  <c r="BR136" i="36" s="1"/>
  <c r="BU136" i="36"/>
  <c r="BW136" i="36"/>
  <c r="BZ136" i="36"/>
  <c r="CA136" i="36"/>
  <c r="BY136" i="36" s="1"/>
  <c r="CB136" i="36"/>
  <c r="CD136" i="36"/>
  <c r="CG136" i="36"/>
  <c r="CH136" i="36"/>
  <c r="CF136" i="36" s="1"/>
  <c r="CI136" i="36"/>
  <c r="E99" i="36"/>
  <c r="H99" i="36"/>
  <c r="I99" i="36"/>
  <c r="G99" i="36" s="1"/>
  <c r="J99" i="36"/>
  <c r="L99" i="36"/>
  <c r="O99" i="36"/>
  <c r="P99" i="36"/>
  <c r="N99" i="36" s="1"/>
  <c r="Q99" i="36"/>
  <c r="S99" i="36"/>
  <c r="V99" i="36"/>
  <c r="W99" i="36"/>
  <c r="U99" i="36" s="1"/>
  <c r="X99" i="36"/>
  <c r="Z99" i="36"/>
  <c r="AC99" i="36"/>
  <c r="AD99" i="36"/>
  <c r="AB99" i="36" s="1"/>
  <c r="AE99" i="36"/>
  <c r="AG99" i="36"/>
  <c r="AJ99" i="36"/>
  <c r="AK99" i="36"/>
  <c r="AI99" i="36" s="1"/>
  <c r="AL99" i="36"/>
  <c r="AN99" i="36"/>
  <c r="AQ99" i="36"/>
  <c r="AR99" i="36"/>
  <c r="AP99" i="36" s="1"/>
  <c r="AS99" i="36"/>
  <c r="AU99" i="36"/>
  <c r="AX99" i="36"/>
  <c r="AY99" i="36"/>
  <c r="AW99" i="36" s="1"/>
  <c r="AZ99" i="36"/>
  <c r="BB99" i="36"/>
  <c r="BE99" i="36"/>
  <c r="BF99" i="36"/>
  <c r="BD99" i="36" s="1"/>
  <c r="BG99" i="36"/>
  <c r="BI99" i="36"/>
  <c r="BL99" i="36"/>
  <c r="BM99" i="36"/>
  <c r="BK99" i="36" s="1"/>
  <c r="BN99" i="36"/>
  <c r="BP99" i="36"/>
  <c r="BS99" i="36"/>
  <c r="BT99" i="36"/>
  <c r="BR99" i="36" s="1"/>
  <c r="BU99" i="36"/>
  <c r="BW99" i="36"/>
  <c r="BZ99" i="36"/>
  <c r="CA99" i="36"/>
  <c r="BY99" i="36" s="1"/>
  <c r="CB99" i="36"/>
  <c r="CD99" i="36"/>
  <c r="CG99" i="36"/>
  <c r="CH99" i="36"/>
  <c r="CF99" i="36" s="1"/>
  <c r="CI99" i="36"/>
  <c r="E79" i="36"/>
  <c r="H79" i="36"/>
  <c r="I79" i="36"/>
  <c r="G79" i="36" s="1"/>
  <c r="J79" i="36"/>
  <c r="L79" i="36"/>
  <c r="O79" i="36"/>
  <c r="P79" i="36"/>
  <c r="N79" i="36" s="1"/>
  <c r="Q79" i="36"/>
  <c r="S79" i="36"/>
  <c r="V79" i="36"/>
  <c r="W79" i="36"/>
  <c r="U79" i="36" s="1"/>
  <c r="X79" i="36"/>
  <c r="Z79" i="36"/>
  <c r="AC79" i="36"/>
  <c r="AD79" i="36"/>
  <c r="AB79" i="36" s="1"/>
  <c r="AE79" i="36"/>
  <c r="AG79" i="36"/>
  <c r="AJ79" i="36"/>
  <c r="AK79" i="36"/>
  <c r="AI79" i="36" s="1"/>
  <c r="AL79" i="36"/>
  <c r="AN79" i="36"/>
  <c r="AQ79" i="36"/>
  <c r="AR79" i="36"/>
  <c r="AP79" i="36" s="1"/>
  <c r="AS79" i="36"/>
  <c r="AU79" i="36"/>
  <c r="AX79" i="36"/>
  <c r="AY79" i="36"/>
  <c r="AW79" i="36" s="1"/>
  <c r="AZ79" i="36"/>
  <c r="BB79" i="36"/>
  <c r="BE79" i="36"/>
  <c r="BF79" i="36"/>
  <c r="BD79" i="36" s="1"/>
  <c r="BG79" i="36"/>
  <c r="BI79" i="36"/>
  <c r="BL79" i="36"/>
  <c r="BM79" i="36"/>
  <c r="BK79" i="36" s="1"/>
  <c r="BN79" i="36"/>
  <c r="BP79" i="36"/>
  <c r="BS79" i="36"/>
  <c r="BT79" i="36"/>
  <c r="BR79" i="36" s="1"/>
  <c r="BU79" i="36"/>
  <c r="BW79" i="36"/>
  <c r="BZ79" i="36"/>
  <c r="CA79" i="36"/>
  <c r="BY79" i="36" s="1"/>
  <c r="CB79" i="36"/>
  <c r="CD79" i="36"/>
  <c r="CG79" i="36"/>
  <c r="CH79" i="36"/>
  <c r="CF79" i="36" s="1"/>
  <c r="CI79" i="36"/>
  <c r="H74" i="36"/>
  <c r="I74" i="36"/>
  <c r="G74" i="36" s="1"/>
  <c r="J74" i="36"/>
  <c r="L74" i="36"/>
  <c r="O74" i="36"/>
  <c r="P74" i="36"/>
  <c r="N74" i="36" s="1"/>
  <c r="Q74" i="36"/>
  <c r="S74" i="36"/>
  <c r="V74" i="36"/>
  <c r="W74" i="36"/>
  <c r="U74" i="36" s="1"/>
  <c r="X74" i="36"/>
  <c r="Z74" i="36"/>
  <c r="AC74" i="36"/>
  <c r="AD74" i="36"/>
  <c r="AB74" i="36" s="1"/>
  <c r="AE74" i="36"/>
  <c r="AJ74" i="36"/>
  <c r="AK74" i="36"/>
  <c r="AI74" i="36" s="1"/>
  <c r="AL74" i="36"/>
  <c r="AQ74" i="36"/>
  <c r="AR74" i="36"/>
  <c r="AP74" i="36" s="1"/>
  <c r="AS74" i="36"/>
  <c r="AU74" i="36"/>
  <c r="AX74" i="36"/>
  <c r="AY74" i="36"/>
  <c r="AW74" i="36" s="1"/>
  <c r="AZ74" i="36"/>
  <c r="BB74" i="36"/>
  <c r="BE74" i="36"/>
  <c r="BF74" i="36"/>
  <c r="BD74" i="36" s="1"/>
  <c r="BG74" i="36"/>
  <c r="BI74" i="36"/>
  <c r="BL74" i="36"/>
  <c r="BM74" i="36"/>
  <c r="BK74" i="36" s="1"/>
  <c r="BN74" i="36"/>
  <c r="BP74" i="36"/>
  <c r="BS74" i="36"/>
  <c r="BT74" i="36"/>
  <c r="BR74" i="36" s="1"/>
  <c r="BU74" i="36"/>
  <c r="BW74" i="36"/>
  <c r="BZ74" i="36"/>
  <c r="CA74" i="36"/>
  <c r="BY74" i="36" s="1"/>
  <c r="CB74" i="36"/>
  <c r="CD74" i="36"/>
  <c r="CG74" i="36"/>
  <c r="CH74" i="36"/>
  <c r="CF74" i="36" s="1"/>
  <c r="CI74" i="36"/>
  <c r="H66" i="36"/>
  <c r="I66" i="36"/>
  <c r="G66" i="36" s="1"/>
  <c r="J66" i="36"/>
  <c r="L66" i="36"/>
  <c r="O66" i="36"/>
  <c r="P66" i="36"/>
  <c r="N66" i="36" s="1"/>
  <c r="S66" i="36"/>
  <c r="V66" i="36"/>
  <c r="W66" i="36"/>
  <c r="U66" i="36" s="1"/>
  <c r="X66" i="36"/>
  <c r="Z66" i="36"/>
  <c r="AC66" i="36"/>
  <c r="AD66" i="36"/>
  <c r="AB66" i="36" s="1"/>
  <c r="AE66" i="36"/>
  <c r="AG66" i="36"/>
  <c r="AJ66" i="36"/>
  <c r="AK66" i="36"/>
  <c r="AI66" i="36" s="1"/>
  <c r="AL66" i="36"/>
  <c r="AQ66" i="36"/>
  <c r="AR66" i="36"/>
  <c r="AP66" i="36" s="1"/>
  <c r="AX66" i="36"/>
  <c r="AY66" i="36"/>
  <c r="AW66" i="36" s="1"/>
  <c r="BB66" i="36"/>
  <c r="BE66" i="36"/>
  <c r="BF66" i="36"/>
  <c r="BD66" i="36" s="1"/>
  <c r="BG66" i="36"/>
  <c r="BI66" i="36"/>
  <c r="BL66" i="36"/>
  <c r="BM66" i="36"/>
  <c r="BK66" i="36" s="1"/>
  <c r="BN66" i="36"/>
  <c r="BP66" i="36"/>
  <c r="BS66" i="36"/>
  <c r="BT66" i="36"/>
  <c r="BR66" i="36" s="1"/>
  <c r="BU66" i="36"/>
  <c r="BW66" i="36"/>
  <c r="BZ66" i="36"/>
  <c r="CA66" i="36"/>
  <c r="BY66" i="36" s="1"/>
  <c r="CB66" i="36"/>
  <c r="CD66" i="36"/>
  <c r="CG66" i="36"/>
  <c r="CH66" i="36"/>
  <c r="CF66" i="36" s="1"/>
  <c r="CI66" i="36"/>
  <c r="E19" i="36"/>
  <c r="H19" i="36"/>
  <c r="I19" i="36"/>
  <c r="G19" i="36" s="1"/>
  <c r="J19" i="36"/>
  <c r="CH169" i="36"/>
  <c r="CH168" i="36"/>
  <c r="CH167" i="36"/>
  <c r="CH166" i="36"/>
  <c r="CH165" i="36"/>
  <c r="CH164" i="36"/>
  <c r="CH161" i="36"/>
  <c r="CH160" i="36"/>
  <c r="CH159" i="36"/>
  <c r="CH158" i="36"/>
  <c r="CH155" i="36"/>
  <c r="CH154" i="36"/>
  <c r="CH153" i="36"/>
  <c r="CH152" i="36"/>
  <c r="CH151" i="36"/>
  <c r="CH148" i="36"/>
  <c r="CH147" i="36"/>
  <c r="CH146" i="36"/>
  <c r="CH145" i="36"/>
  <c r="CH144" i="36"/>
  <c r="CH143" i="36"/>
  <c r="CH142" i="36"/>
  <c r="CH141" i="36"/>
  <c r="CH140" i="36"/>
  <c r="CH139" i="36"/>
  <c r="CH138" i="36"/>
  <c r="CH137" i="36"/>
  <c r="CA169" i="36"/>
  <c r="CF169" i="36" s="1"/>
  <c r="N12" i="49" s="1"/>
  <c r="CA168" i="36"/>
  <c r="CF168" i="36" s="1"/>
  <c r="N21" i="49" s="1"/>
  <c r="CA167" i="36"/>
  <c r="CF167" i="36" s="1"/>
  <c r="CA166" i="36"/>
  <c r="CF166" i="36" s="1"/>
  <c r="CA165" i="36"/>
  <c r="CF165" i="36" s="1"/>
  <c r="CA164" i="36"/>
  <c r="CF164" i="36" s="1"/>
  <c r="CA161" i="36"/>
  <c r="CF161" i="36" s="1"/>
  <c r="N33" i="49" s="1"/>
  <c r="CA160" i="36"/>
  <c r="CF160" i="36" s="1"/>
  <c r="CA159" i="36"/>
  <c r="CF159" i="36" s="1"/>
  <c r="N36" i="49" s="1"/>
  <c r="N84" i="49" s="1"/>
  <c r="CA158" i="36"/>
  <c r="CF158" i="36" s="1"/>
  <c r="CA155" i="36"/>
  <c r="CF155" i="36" s="1"/>
  <c r="N23" i="49" s="1"/>
  <c r="CA154" i="36"/>
  <c r="CF154" i="36" s="1"/>
  <c r="N28" i="49" s="1"/>
  <c r="CA153" i="36"/>
  <c r="CF153" i="36" s="1"/>
  <c r="CA152" i="36"/>
  <c r="CF152" i="36" s="1"/>
  <c r="CA151" i="36"/>
  <c r="CF151" i="36" s="1"/>
  <c r="CA148" i="36"/>
  <c r="CF148" i="36" s="1"/>
  <c r="CA147" i="36"/>
  <c r="CF147" i="36" s="1"/>
  <c r="CA146" i="36"/>
  <c r="CF146" i="36" s="1"/>
  <c r="CA145" i="36"/>
  <c r="CF145" i="36" s="1"/>
  <c r="CA144" i="36"/>
  <c r="CF144" i="36" s="1"/>
  <c r="CA143" i="36"/>
  <c r="CF143" i="36" s="1"/>
  <c r="CA142" i="36"/>
  <c r="CF142" i="36" s="1"/>
  <c r="CA141" i="36"/>
  <c r="CF141" i="36" s="1"/>
  <c r="CA140" i="36"/>
  <c r="CF140" i="36" s="1"/>
  <c r="CA139" i="36"/>
  <c r="CF139" i="36" s="1"/>
  <c r="CA138" i="36"/>
  <c r="CF138" i="36" s="1"/>
  <c r="CA137" i="36"/>
  <c r="CF137" i="36" s="1"/>
  <c r="BT169" i="36"/>
  <c r="BY169" i="36" s="1"/>
  <c r="L12" i="49" s="1"/>
  <c r="BT168" i="36"/>
  <c r="BY168" i="36" s="1"/>
  <c r="L21" i="49" s="1"/>
  <c r="BT167" i="36"/>
  <c r="BY167" i="36" s="1"/>
  <c r="BT166" i="36"/>
  <c r="BY166" i="36" s="1"/>
  <c r="BT165" i="36"/>
  <c r="BY165" i="36" s="1"/>
  <c r="BT164" i="36"/>
  <c r="BY164" i="36" s="1"/>
  <c r="BT161" i="36"/>
  <c r="BY161" i="36" s="1"/>
  <c r="L33" i="49" s="1"/>
  <c r="BT160" i="36"/>
  <c r="BY160" i="36" s="1"/>
  <c r="BT159" i="36"/>
  <c r="BY159" i="36" s="1"/>
  <c r="L36" i="49" s="1"/>
  <c r="L84" i="49" s="1"/>
  <c r="BT158" i="36"/>
  <c r="BY158" i="36" s="1"/>
  <c r="BT155" i="36"/>
  <c r="BY155" i="36" s="1"/>
  <c r="L23" i="49" s="1"/>
  <c r="BT154" i="36"/>
  <c r="BY154" i="36" s="1"/>
  <c r="L28" i="49" s="1"/>
  <c r="BT153" i="36"/>
  <c r="BY153" i="36" s="1"/>
  <c r="BT152" i="36"/>
  <c r="BY152" i="36" s="1"/>
  <c r="BT151" i="36"/>
  <c r="BY151" i="36" s="1"/>
  <c r="BT148" i="36"/>
  <c r="BY148" i="36" s="1"/>
  <c r="BT147" i="36"/>
  <c r="BY147" i="36" s="1"/>
  <c r="BT146" i="36"/>
  <c r="BY146" i="36" s="1"/>
  <c r="BT145" i="36"/>
  <c r="BY145" i="36" s="1"/>
  <c r="BT144" i="36"/>
  <c r="BY144" i="36" s="1"/>
  <c r="BT143" i="36"/>
  <c r="BY143" i="36" s="1"/>
  <c r="BT142" i="36"/>
  <c r="BY142" i="36" s="1"/>
  <c r="BT141" i="36"/>
  <c r="BY141" i="36" s="1"/>
  <c r="BT140" i="36"/>
  <c r="BY140" i="36" s="1"/>
  <c r="BT139" i="36"/>
  <c r="BY139" i="36" s="1"/>
  <c r="BT138" i="36"/>
  <c r="BY138" i="36" s="1"/>
  <c r="BT137" i="36"/>
  <c r="BY137" i="36" s="1"/>
  <c r="BM169" i="36"/>
  <c r="BM168" i="36"/>
  <c r="BM167" i="36"/>
  <c r="BM166" i="36"/>
  <c r="BM165" i="36"/>
  <c r="BM164" i="36"/>
  <c r="BM161" i="36"/>
  <c r="BM160" i="36"/>
  <c r="BM159" i="36"/>
  <c r="BM158" i="36"/>
  <c r="BM155" i="36"/>
  <c r="BM154" i="36"/>
  <c r="BM153" i="36"/>
  <c r="BM152" i="36"/>
  <c r="BM151" i="36"/>
  <c r="BM148" i="36"/>
  <c r="BM147" i="36"/>
  <c r="BM146" i="36"/>
  <c r="BM145" i="36"/>
  <c r="BM144" i="36"/>
  <c r="BM143" i="36"/>
  <c r="BM142" i="36"/>
  <c r="BM141" i="36"/>
  <c r="BM140" i="36"/>
  <c r="BM139" i="36"/>
  <c r="BM138" i="36"/>
  <c r="BM137" i="36"/>
  <c r="BF169" i="36"/>
  <c r="BF168" i="36"/>
  <c r="BF167" i="36"/>
  <c r="BF166" i="36"/>
  <c r="BF165" i="36"/>
  <c r="BF164" i="36"/>
  <c r="BF161" i="36"/>
  <c r="BF160" i="36"/>
  <c r="BF159" i="36"/>
  <c r="BF158" i="36"/>
  <c r="BF155" i="36"/>
  <c r="BF154" i="36"/>
  <c r="BF153" i="36"/>
  <c r="BF152" i="36"/>
  <c r="BF151" i="36"/>
  <c r="BF148" i="36"/>
  <c r="BF147" i="36"/>
  <c r="BF146" i="36"/>
  <c r="BF145" i="36"/>
  <c r="BF144" i="36"/>
  <c r="BF143" i="36"/>
  <c r="BF142" i="36"/>
  <c r="BF141" i="36"/>
  <c r="BF140" i="36"/>
  <c r="BF139" i="36"/>
  <c r="BF138" i="36"/>
  <c r="BF137" i="36"/>
  <c r="AY169" i="36"/>
  <c r="AY168" i="36"/>
  <c r="AY167" i="36"/>
  <c r="BD167" i="36" s="1"/>
  <c r="AY166" i="36"/>
  <c r="BD166" i="36" s="1"/>
  <c r="AY165" i="36"/>
  <c r="AY164" i="36"/>
  <c r="BD164" i="36" s="1"/>
  <c r="AY161" i="36"/>
  <c r="AY160" i="36"/>
  <c r="BD160" i="36" s="1"/>
  <c r="AY159" i="36"/>
  <c r="AY158" i="36"/>
  <c r="BD158" i="36" s="1"/>
  <c r="AY155" i="36"/>
  <c r="AY154" i="36"/>
  <c r="AY153" i="36"/>
  <c r="BD153" i="36" s="1"/>
  <c r="AY152" i="36"/>
  <c r="BD152" i="36" s="1"/>
  <c r="AY151" i="36"/>
  <c r="BD151" i="36" s="1"/>
  <c r="AY148" i="36"/>
  <c r="BD148" i="36" s="1"/>
  <c r="AY147" i="36"/>
  <c r="BD147" i="36" s="1"/>
  <c r="AY146" i="36"/>
  <c r="BD146" i="36" s="1"/>
  <c r="AY145" i="36"/>
  <c r="BD145" i="36" s="1"/>
  <c r="AY144" i="36"/>
  <c r="BD144" i="36" s="1"/>
  <c r="AY143" i="36"/>
  <c r="BD143" i="36" s="1"/>
  <c r="AY142" i="36"/>
  <c r="BD142" i="36" s="1"/>
  <c r="AY141" i="36"/>
  <c r="BD141" i="36" s="1"/>
  <c r="AY140" i="36"/>
  <c r="BD140" i="36" s="1"/>
  <c r="AY139" i="36"/>
  <c r="BD139" i="36" s="1"/>
  <c r="AY138" i="36"/>
  <c r="BD138" i="36" s="1"/>
  <c r="AY137" i="36"/>
  <c r="BD137" i="36" s="1"/>
  <c r="AR169" i="36"/>
  <c r="AW169" i="36" s="1"/>
  <c r="D12" i="49" s="1"/>
  <c r="AR168" i="36"/>
  <c r="AW168" i="36" s="1"/>
  <c r="D21" i="49" s="1"/>
  <c r="AR167" i="36"/>
  <c r="AW167" i="36" s="1"/>
  <c r="AR166" i="36"/>
  <c r="AW166" i="36" s="1"/>
  <c r="AR165" i="36"/>
  <c r="AW165" i="36" s="1"/>
  <c r="AR164" i="36"/>
  <c r="AW164" i="36" s="1"/>
  <c r="AR161" i="36"/>
  <c r="AW161" i="36" s="1"/>
  <c r="D33" i="49" s="1"/>
  <c r="AR160" i="36"/>
  <c r="AW160" i="36" s="1"/>
  <c r="AR159" i="36"/>
  <c r="AW159" i="36" s="1"/>
  <c r="D36" i="49" s="1"/>
  <c r="D84" i="49" s="1"/>
  <c r="AR158" i="36"/>
  <c r="AW158" i="36" s="1"/>
  <c r="AR155" i="36"/>
  <c r="AW155" i="36" s="1"/>
  <c r="D23" i="49" s="1"/>
  <c r="AR154" i="36"/>
  <c r="AW154" i="36" s="1"/>
  <c r="D28" i="49" s="1"/>
  <c r="AR153" i="36"/>
  <c r="AW153" i="36" s="1"/>
  <c r="AR152" i="36"/>
  <c r="AW152" i="36" s="1"/>
  <c r="AR151" i="36"/>
  <c r="AW151" i="36" s="1"/>
  <c r="AR148" i="36"/>
  <c r="AW148" i="36" s="1"/>
  <c r="AR147" i="36"/>
  <c r="AW147" i="36" s="1"/>
  <c r="AR146" i="36"/>
  <c r="AW146" i="36" s="1"/>
  <c r="AR145" i="36"/>
  <c r="AW145" i="36" s="1"/>
  <c r="AR144" i="36"/>
  <c r="AW144" i="36" s="1"/>
  <c r="AR143" i="36"/>
  <c r="AW143" i="36" s="1"/>
  <c r="AR142" i="36"/>
  <c r="AW142" i="36" s="1"/>
  <c r="AR141" i="36"/>
  <c r="AW141" i="36" s="1"/>
  <c r="AR140" i="36"/>
  <c r="AW140" i="36" s="1"/>
  <c r="AR139" i="36"/>
  <c r="AW139" i="36" s="1"/>
  <c r="AR138" i="36"/>
  <c r="AW138" i="36" s="1"/>
  <c r="AR137" i="36"/>
  <c r="AW137" i="36" s="1"/>
  <c r="L159" i="36"/>
  <c r="S159" i="36" s="1"/>
  <c r="Z159" i="36" s="1"/>
  <c r="AG159" i="36" s="1"/>
  <c r="AN159" i="36" s="1"/>
  <c r="AU159" i="36" s="1"/>
  <c r="BB159" i="36" s="1"/>
  <c r="BI159" i="36" s="1"/>
  <c r="BP159" i="36" s="1"/>
  <c r="BW159" i="36" s="1"/>
  <c r="CD159" i="36" s="1"/>
  <c r="L140" i="36"/>
  <c r="S140" i="36" s="1"/>
  <c r="Z140" i="36" s="1"/>
  <c r="AG140" i="36" s="1"/>
  <c r="AN140" i="36" s="1"/>
  <c r="AU140" i="36" s="1"/>
  <c r="BB140" i="36" s="1"/>
  <c r="BI140" i="36" s="1"/>
  <c r="BP140" i="36" s="1"/>
  <c r="BW140" i="36" s="1"/>
  <c r="CD140" i="36" s="1"/>
  <c r="L49" i="36"/>
  <c r="S49" i="36" s="1"/>
  <c r="Z49" i="36" s="1"/>
  <c r="AG49" i="36" s="1"/>
  <c r="AN49" i="36" s="1"/>
  <c r="AU49" i="36" s="1"/>
  <c r="BB49" i="36" s="1"/>
  <c r="L54" i="36"/>
  <c r="S54" i="36" s="1"/>
  <c r="Z54" i="36" s="1"/>
  <c r="AG54" i="36" s="1"/>
  <c r="AN54" i="36" s="1"/>
  <c r="AU54" i="36" s="1"/>
  <c r="BB54" i="36" s="1"/>
  <c r="L71" i="36"/>
  <c r="S71" i="36" s="1"/>
  <c r="Z71" i="36" s="1"/>
  <c r="AG71" i="36" s="1"/>
  <c r="AN71" i="36" s="1"/>
  <c r="AU71" i="36" s="1"/>
  <c r="BB71" i="36" s="1"/>
  <c r="L77" i="36"/>
  <c r="S77" i="36" s="1"/>
  <c r="Z77" i="36" s="1"/>
  <c r="AG77" i="36" s="1"/>
  <c r="AN77" i="36" s="1"/>
  <c r="AU77" i="36" s="1"/>
  <c r="BB77" i="36" s="1"/>
  <c r="L83" i="36"/>
  <c r="S83" i="36" s="1"/>
  <c r="Z83" i="36" s="1"/>
  <c r="AG83" i="36" s="1"/>
  <c r="AN83" i="36" s="1"/>
  <c r="AU83" i="36" s="1"/>
  <c r="BB83" i="36" s="1"/>
  <c r="L85" i="36"/>
  <c r="S85" i="36" s="1"/>
  <c r="Z85" i="36" s="1"/>
  <c r="AG85" i="36" s="1"/>
  <c r="AN85" i="36" s="1"/>
  <c r="AU85" i="36" s="1"/>
  <c r="BB85" i="36" s="1"/>
  <c r="L87" i="36"/>
  <c r="S87" i="36" s="1"/>
  <c r="Z87" i="36" s="1"/>
  <c r="AG87" i="36" s="1"/>
  <c r="AN87" i="36" s="1"/>
  <c r="AU87" i="36" s="1"/>
  <c r="BB87" i="36" s="1"/>
  <c r="L88" i="36"/>
  <c r="S88" i="36" s="1"/>
  <c r="Z88" i="36" s="1"/>
  <c r="AG88" i="36" s="1"/>
  <c r="AN88" i="36" s="1"/>
  <c r="AU88" i="36" s="1"/>
  <c r="BB88" i="36" s="1"/>
  <c r="L89" i="36"/>
  <c r="S89" i="36" s="1"/>
  <c r="Z89" i="36" s="1"/>
  <c r="AG89" i="36" s="1"/>
  <c r="AN89" i="36" s="1"/>
  <c r="AU89" i="36" s="1"/>
  <c r="BB89" i="36" s="1"/>
  <c r="L90" i="36"/>
  <c r="S90" i="36" s="1"/>
  <c r="Z90" i="36" s="1"/>
  <c r="AG90" i="36" s="1"/>
  <c r="AN90" i="36" s="1"/>
  <c r="AU90" i="36" s="1"/>
  <c r="BB90" i="36" s="1"/>
  <c r="L97" i="36"/>
  <c r="S97" i="36" s="1"/>
  <c r="Z97" i="36" s="1"/>
  <c r="AG97" i="36" s="1"/>
  <c r="AN97" i="36" s="1"/>
  <c r="AU97" i="36" s="1"/>
  <c r="BB97" i="36" s="1"/>
  <c r="L107" i="36"/>
  <c r="S107" i="36" s="1"/>
  <c r="Z107" i="36" s="1"/>
  <c r="AG107" i="36" s="1"/>
  <c r="AN107" i="36" s="1"/>
  <c r="AU107" i="36" s="1"/>
  <c r="BB107" i="36" s="1"/>
  <c r="L108" i="36"/>
  <c r="S108" i="36" s="1"/>
  <c r="Z108" i="36" s="1"/>
  <c r="AG108" i="36" s="1"/>
  <c r="AN108" i="36" s="1"/>
  <c r="AU108" i="36" s="1"/>
  <c r="BB108" i="36" s="1"/>
  <c r="L109" i="36"/>
  <c r="S109" i="36" s="1"/>
  <c r="Z109" i="36" s="1"/>
  <c r="AG109" i="36" s="1"/>
  <c r="AN109" i="36" s="1"/>
  <c r="AU109" i="36" s="1"/>
  <c r="BB109" i="36" s="1"/>
  <c r="L121" i="36"/>
  <c r="S121" i="36" s="1"/>
  <c r="Z121" i="36" s="1"/>
  <c r="AG121" i="36" s="1"/>
  <c r="AN121" i="36" s="1"/>
  <c r="AU121" i="36" s="1"/>
  <c r="BB121" i="36" s="1"/>
  <c r="L48" i="36"/>
  <c r="S48" i="36" s="1"/>
  <c r="Z48" i="36" s="1"/>
  <c r="AG48" i="36" s="1"/>
  <c r="AN48" i="36" s="1"/>
  <c r="AU48" i="36" s="1"/>
  <c r="BB48" i="36" s="1"/>
  <c r="L46" i="36"/>
  <c r="S46" i="36" s="1"/>
  <c r="Z46" i="36" s="1"/>
  <c r="AG46" i="36" s="1"/>
  <c r="AN46" i="36" s="1"/>
  <c r="AU46" i="36" s="1"/>
  <c r="BB46" i="36" s="1"/>
  <c r="L44" i="36"/>
  <c r="S44" i="36" s="1"/>
  <c r="Z44" i="36" s="1"/>
  <c r="AG44" i="36" s="1"/>
  <c r="AN44" i="36" s="1"/>
  <c r="AU44" i="36" s="1"/>
  <c r="BB44" i="36" s="1"/>
  <c r="L43" i="36"/>
  <c r="AK169" i="36"/>
  <c r="AP169" i="36" s="1"/>
  <c r="AK168" i="36"/>
  <c r="AP168" i="36" s="1"/>
  <c r="AK167" i="36"/>
  <c r="AP167" i="36" s="1"/>
  <c r="AK166" i="36"/>
  <c r="AP166" i="36" s="1"/>
  <c r="AK165" i="36"/>
  <c r="AP165" i="36" s="1"/>
  <c r="AK164" i="36"/>
  <c r="AP164" i="36" s="1"/>
  <c r="AK161" i="36"/>
  <c r="AP161" i="36" s="1"/>
  <c r="AK160" i="36"/>
  <c r="AP160" i="36" s="1"/>
  <c r="AK159" i="36"/>
  <c r="AP159" i="36" s="1"/>
  <c r="AK158" i="36"/>
  <c r="AP158" i="36" s="1"/>
  <c r="AK155" i="36"/>
  <c r="AP155" i="36" s="1"/>
  <c r="AK154" i="36"/>
  <c r="AP154" i="36" s="1"/>
  <c r="AK153" i="36"/>
  <c r="AP153" i="36" s="1"/>
  <c r="AK152" i="36"/>
  <c r="AP152" i="36" s="1"/>
  <c r="AK151" i="36"/>
  <c r="AP151" i="36" s="1"/>
  <c r="AK148" i="36"/>
  <c r="AP148" i="36" s="1"/>
  <c r="AK147" i="36"/>
  <c r="AP147" i="36" s="1"/>
  <c r="AK146" i="36"/>
  <c r="AP146" i="36" s="1"/>
  <c r="AK145" i="36"/>
  <c r="AP145" i="36" s="1"/>
  <c r="AK144" i="36"/>
  <c r="AP144" i="36" s="1"/>
  <c r="AK143" i="36"/>
  <c r="AP143" i="36" s="1"/>
  <c r="AK142" i="36"/>
  <c r="AP142" i="36" s="1"/>
  <c r="AK141" i="36"/>
  <c r="AP141" i="36" s="1"/>
  <c r="AK140" i="36"/>
  <c r="AP140" i="36" s="1"/>
  <c r="AK139" i="36"/>
  <c r="AP139" i="36" s="1"/>
  <c r="AK138" i="36"/>
  <c r="AP138" i="36" s="1"/>
  <c r="AK137" i="36"/>
  <c r="AP137" i="36" s="1"/>
  <c r="AD169" i="36"/>
  <c r="AI169" i="36" s="1"/>
  <c r="AD168" i="36"/>
  <c r="AI168" i="36" s="1"/>
  <c r="AD167" i="36"/>
  <c r="AI167" i="36" s="1"/>
  <c r="AD166" i="36"/>
  <c r="AI166" i="36" s="1"/>
  <c r="AD165" i="36"/>
  <c r="AI165" i="36" s="1"/>
  <c r="AD164" i="36"/>
  <c r="AI164" i="36" s="1"/>
  <c r="AD161" i="36"/>
  <c r="AI161" i="36" s="1"/>
  <c r="AD160" i="36"/>
  <c r="AI160" i="36" s="1"/>
  <c r="AD159" i="36"/>
  <c r="AI159" i="36" s="1"/>
  <c r="AD158" i="36"/>
  <c r="AI158" i="36" s="1"/>
  <c r="AD155" i="36"/>
  <c r="AI155" i="36" s="1"/>
  <c r="AD154" i="36"/>
  <c r="AI154" i="36" s="1"/>
  <c r="AD153" i="36"/>
  <c r="AI153" i="36" s="1"/>
  <c r="AD152" i="36"/>
  <c r="AI152" i="36" s="1"/>
  <c r="AD151" i="36"/>
  <c r="AI151" i="36" s="1"/>
  <c r="AD148" i="36"/>
  <c r="AI148" i="36" s="1"/>
  <c r="AD147" i="36"/>
  <c r="AI147" i="36" s="1"/>
  <c r="AD146" i="36"/>
  <c r="AI146" i="36" s="1"/>
  <c r="AD145" i="36"/>
  <c r="AI145" i="36" s="1"/>
  <c r="AD144" i="36"/>
  <c r="AI144" i="36" s="1"/>
  <c r="AD143" i="36"/>
  <c r="AI143" i="36" s="1"/>
  <c r="AD142" i="36"/>
  <c r="AI142" i="36" s="1"/>
  <c r="AD141" i="36"/>
  <c r="AI141" i="36" s="1"/>
  <c r="AD140" i="36"/>
  <c r="AI140" i="36" s="1"/>
  <c r="AD139" i="36"/>
  <c r="AI139" i="36" s="1"/>
  <c r="AD138" i="36"/>
  <c r="AI138" i="36" s="1"/>
  <c r="AD137" i="36"/>
  <c r="AI137" i="36" s="1"/>
  <c r="W169" i="36"/>
  <c r="AB169" i="36" s="1"/>
  <c r="W168" i="36"/>
  <c r="AB168" i="36" s="1"/>
  <c r="W167" i="36"/>
  <c r="AB167" i="36" s="1"/>
  <c r="W166" i="36"/>
  <c r="AB166" i="36" s="1"/>
  <c r="W165" i="36"/>
  <c r="AB165" i="36" s="1"/>
  <c r="W164" i="36"/>
  <c r="AB164" i="36" s="1"/>
  <c r="W161" i="36"/>
  <c r="AB161" i="36" s="1"/>
  <c r="W160" i="36"/>
  <c r="AB160" i="36" s="1"/>
  <c r="W159" i="36"/>
  <c r="AB159" i="36" s="1"/>
  <c r="W158" i="36"/>
  <c r="AB158" i="36" s="1"/>
  <c r="W155" i="36"/>
  <c r="AB155" i="36" s="1"/>
  <c r="W154" i="36"/>
  <c r="AB154" i="36" s="1"/>
  <c r="W153" i="36"/>
  <c r="AB153" i="36" s="1"/>
  <c r="W152" i="36"/>
  <c r="AB152" i="36" s="1"/>
  <c r="W151" i="36"/>
  <c r="AB151" i="36" s="1"/>
  <c r="W148" i="36"/>
  <c r="AB148" i="36" s="1"/>
  <c r="W147" i="36"/>
  <c r="AB147" i="36" s="1"/>
  <c r="W146" i="36"/>
  <c r="AB146" i="36" s="1"/>
  <c r="W145" i="36"/>
  <c r="AB145" i="36" s="1"/>
  <c r="W144" i="36"/>
  <c r="AB144" i="36" s="1"/>
  <c r="W143" i="36"/>
  <c r="AB143" i="36" s="1"/>
  <c r="W142" i="36"/>
  <c r="AB142" i="36" s="1"/>
  <c r="W141" i="36"/>
  <c r="AB141" i="36" s="1"/>
  <c r="W140" i="36"/>
  <c r="AB140" i="36" s="1"/>
  <c r="W139" i="36"/>
  <c r="AB139" i="36" s="1"/>
  <c r="W138" i="36"/>
  <c r="AB138" i="36" s="1"/>
  <c r="W137" i="36"/>
  <c r="AB137" i="36" s="1"/>
  <c r="P169" i="36"/>
  <c r="U169" i="36" s="1"/>
  <c r="P168" i="36"/>
  <c r="U168" i="36" s="1"/>
  <c r="P167" i="36"/>
  <c r="U167" i="36" s="1"/>
  <c r="P166" i="36"/>
  <c r="U166" i="36" s="1"/>
  <c r="P165" i="36"/>
  <c r="U165" i="36" s="1"/>
  <c r="P164" i="36"/>
  <c r="U164" i="36" s="1"/>
  <c r="P161" i="36"/>
  <c r="U161" i="36" s="1"/>
  <c r="P160" i="36"/>
  <c r="U160" i="36" s="1"/>
  <c r="P159" i="36"/>
  <c r="U159" i="36" s="1"/>
  <c r="O159" i="36"/>
  <c r="P158" i="36"/>
  <c r="U158" i="36" s="1"/>
  <c r="P155" i="36"/>
  <c r="U155" i="36" s="1"/>
  <c r="P154" i="36"/>
  <c r="U154" i="36" s="1"/>
  <c r="P153" i="36"/>
  <c r="U153" i="36" s="1"/>
  <c r="P152" i="36"/>
  <c r="U152" i="36" s="1"/>
  <c r="P151" i="36"/>
  <c r="U151" i="36" s="1"/>
  <c r="P138" i="36"/>
  <c r="U138" i="36" s="1"/>
  <c r="P139" i="36"/>
  <c r="U139" i="36" s="1"/>
  <c r="O140" i="36"/>
  <c r="P140" i="36"/>
  <c r="U140" i="36" s="1"/>
  <c r="P141" i="36"/>
  <c r="U141" i="36" s="1"/>
  <c r="P142" i="36"/>
  <c r="U142" i="36" s="1"/>
  <c r="P143" i="36"/>
  <c r="U143" i="36" s="1"/>
  <c r="P144" i="36"/>
  <c r="U144" i="36" s="1"/>
  <c r="P145" i="36"/>
  <c r="U145" i="36" s="1"/>
  <c r="P146" i="36"/>
  <c r="U146" i="36" s="1"/>
  <c r="P147" i="36"/>
  <c r="U147" i="36" s="1"/>
  <c r="P148" i="36"/>
  <c r="U148" i="36" s="1"/>
  <c r="P137" i="36"/>
  <c r="U137" i="36" s="1"/>
  <c r="M43" i="36"/>
  <c r="O44" i="36"/>
  <c r="P44" i="36"/>
  <c r="P45" i="36"/>
  <c r="O46" i="36"/>
  <c r="P46" i="36"/>
  <c r="P47" i="36"/>
  <c r="O48" i="36"/>
  <c r="P48" i="36"/>
  <c r="O49" i="36"/>
  <c r="P49" i="36"/>
  <c r="P50" i="36"/>
  <c r="P51" i="36"/>
  <c r="P53" i="36"/>
  <c r="O54" i="36"/>
  <c r="P54" i="36"/>
  <c r="P55" i="36"/>
  <c r="P56" i="36"/>
  <c r="P57" i="36"/>
  <c r="P58" i="36"/>
  <c r="P59" i="36"/>
  <c r="P60" i="36"/>
  <c r="P61" i="36"/>
  <c r="P62" i="36"/>
  <c r="P63" i="36"/>
  <c r="P64" i="36"/>
  <c r="P65" i="36"/>
  <c r="P67" i="36"/>
  <c r="P68" i="36"/>
  <c r="P69" i="36"/>
  <c r="P70" i="36"/>
  <c r="O71" i="36"/>
  <c r="P71" i="36"/>
  <c r="P72" i="36"/>
  <c r="P73" i="36"/>
  <c r="P75" i="36"/>
  <c r="P76" i="36"/>
  <c r="O77" i="36"/>
  <c r="P77" i="36"/>
  <c r="P78" i="36"/>
  <c r="P80" i="36"/>
  <c r="P81" i="36"/>
  <c r="P82" i="36"/>
  <c r="O83" i="36"/>
  <c r="P83" i="36"/>
  <c r="P84" i="36"/>
  <c r="O85" i="36"/>
  <c r="P85" i="36"/>
  <c r="P86" i="36"/>
  <c r="O87" i="36"/>
  <c r="P87" i="36"/>
  <c r="O88" i="36"/>
  <c r="P88" i="36"/>
  <c r="O89" i="36"/>
  <c r="P89" i="36"/>
  <c r="O90" i="36"/>
  <c r="P90" i="36"/>
  <c r="P91" i="36"/>
  <c r="P92" i="36"/>
  <c r="P93" i="36"/>
  <c r="P94" i="36"/>
  <c r="P95" i="36"/>
  <c r="P96" i="36"/>
  <c r="O97" i="36"/>
  <c r="P97" i="36"/>
  <c r="P98" i="36"/>
  <c r="P100" i="36"/>
  <c r="P101" i="36"/>
  <c r="P102" i="36"/>
  <c r="P103" i="36"/>
  <c r="P104" i="36"/>
  <c r="P106" i="36"/>
  <c r="O107" i="36"/>
  <c r="P107" i="36"/>
  <c r="O108" i="36"/>
  <c r="P108" i="36"/>
  <c r="O109" i="36"/>
  <c r="P109" i="36"/>
  <c r="P110" i="36"/>
  <c r="P111" i="36"/>
  <c r="P112" i="36"/>
  <c r="P113" i="36"/>
  <c r="P114" i="36"/>
  <c r="P115" i="36"/>
  <c r="P116" i="36"/>
  <c r="P117" i="36"/>
  <c r="P118" i="36"/>
  <c r="P119" i="36"/>
  <c r="P120" i="36"/>
  <c r="O121" i="36"/>
  <c r="P121" i="36"/>
  <c r="P122" i="36"/>
  <c r="P123" i="36"/>
  <c r="P124" i="36"/>
  <c r="P125" i="36"/>
  <c r="P126" i="36"/>
  <c r="P127" i="36"/>
  <c r="P128" i="36"/>
  <c r="P129" i="36"/>
  <c r="P130" i="36"/>
  <c r="P131" i="36"/>
  <c r="P132" i="36"/>
  <c r="P133" i="36"/>
  <c r="O43" i="36"/>
  <c r="P43" i="36"/>
  <c r="P16" i="36"/>
  <c r="P19" i="36"/>
  <c r="P22" i="36"/>
  <c r="CH22" i="36"/>
  <c r="CH19" i="36"/>
  <c r="CH16" i="36"/>
  <c r="CA22" i="36"/>
  <c r="CF22" i="36" s="1"/>
  <c r="CA19" i="36"/>
  <c r="CF19" i="36" s="1"/>
  <c r="N42" i="49" s="1"/>
  <c r="CA16" i="36"/>
  <c r="CF16" i="36" s="1"/>
  <c r="BT22" i="36"/>
  <c r="BY22" i="36" s="1"/>
  <c r="BT19" i="36"/>
  <c r="BY19" i="36" s="1"/>
  <c r="L42" i="49" s="1"/>
  <c r="BT16" i="36"/>
  <c r="BY16" i="36" s="1"/>
  <c r="BM22" i="36"/>
  <c r="BM19" i="36"/>
  <c r="BM16" i="36"/>
  <c r="BF22" i="36"/>
  <c r="BF19" i="36"/>
  <c r="BF16" i="36"/>
  <c r="AY22" i="36"/>
  <c r="BD22" i="36" s="1"/>
  <c r="AY19" i="36"/>
  <c r="AY16" i="36"/>
  <c r="BD16" i="36" s="1"/>
  <c r="AR22" i="36"/>
  <c r="AR19" i="36"/>
  <c r="AW19" i="36" s="1"/>
  <c r="D42" i="49" s="1"/>
  <c r="AR16" i="36"/>
  <c r="AK22" i="36"/>
  <c r="AK19" i="36"/>
  <c r="AP19" i="36" s="1"/>
  <c r="AP15" i="36" s="1"/>
  <c r="AK16" i="36"/>
  <c r="AD22" i="36"/>
  <c r="AD19" i="36"/>
  <c r="AI19" i="36" s="1"/>
  <c r="AI15" i="36" s="1"/>
  <c r="AD16" i="36"/>
  <c r="W22" i="36"/>
  <c r="W19" i="36"/>
  <c r="AB19" i="36" s="1"/>
  <c r="AB15" i="36" s="1"/>
  <c r="E22" i="36"/>
  <c r="W16" i="36"/>
  <c r="AR11" i="36"/>
  <c r="AR10" i="36"/>
  <c r="AR9" i="36"/>
  <c r="AR7" i="36"/>
  <c r="AP12" i="36"/>
  <c r="AK11" i="36"/>
  <c r="AP11" i="36" s="1"/>
  <c r="AK10" i="36"/>
  <c r="AP10" i="36" s="1"/>
  <c r="AK9" i="36"/>
  <c r="AP9" i="36" s="1"/>
  <c r="AK8" i="36"/>
  <c r="AP8" i="36" s="1"/>
  <c r="AK7" i="36"/>
  <c r="AI12" i="36"/>
  <c r="AD11" i="36"/>
  <c r="AI11" i="36" s="1"/>
  <c r="AD10" i="36"/>
  <c r="AI10" i="36" s="1"/>
  <c r="AD9" i="36"/>
  <c r="AI9" i="36" s="1"/>
  <c r="AD8" i="36"/>
  <c r="AI8" i="36" s="1"/>
  <c r="AD7" i="36"/>
  <c r="AI7" i="36" s="1"/>
  <c r="AB12" i="36"/>
  <c r="W11" i="36"/>
  <c r="AB11" i="36" s="1"/>
  <c r="W10" i="36"/>
  <c r="AB10" i="36" s="1"/>
  <c r="W9" i="36"/>
  <c r="AB9" i="36" s="1"/>
  <c r="AE9" i="36" s="1"/>
  <c r="W8" i="36"/>
  <c r="AB8" i="36" s="1"/>
  <c r="W7" i="36"/>
  <c r="P8" i="36"/>
  <c r="U8" i="36" s="1"/>
  <c r="P9" i="36"/>
  <c r="U9" i="36" s="1"/>
  <c r="X9" i="36" s="1"/>
  <c r="P10" i="36"/>
  <c r="U10" i="36" s="1"/>
  <c r="P11" i="36"/>
  <c r="U11" i="36" s="1"/>
  <c r="X11" i="36" s="1"/>
  <c r="U12" i="36"/>
  <c r="W133" i="36"/>
  <c r="W132" i="36"/>
  <c r="W131" i="36"/>
  <c r="W130" i="36"/>
  <c r="W129" i="36"/>
  <c r="W128" i="36"/>
  <c r="W127" i="36"/>
  <c r="W126" i="36"/>
  <c r="W125" i="36"/>
  <c r="W124" i="36"/>
  <c r="W123" i="36"/>
  <c r="W122" i="36"/>
  <c r="W121" i="36"/>
  <c r="W120" i="36"/>
  <c r="W119" i="36"/>
  <c r="W118" i="36"/>
  <c r="W117" i="36"/>
  <c r="W116" i="36"/>
  <c r="W115" i="36"/>
  <c r="W114" i="36"/>
  <c r="W113" i="36"/>
  <c r="W112" i="36"/>
  <c r="W111" i="36"/>
  <c r="W110" i="36"/>
  <c r="W109" i="36"/>
  <c r="W108" i="36"/>
  <c r="W107" i="36"/>
  <c r="W106" i="36"/>
  <c r="W104" i="36"/>
  <c r="W103" i="36"/>
  <c r="W102" i="36"/>
  <c r="W101" i="36"/>
  <c r="W100" i="36"/>
  <c r="W98" i="36"/>
  <c r="W97" i="36"/>
  <c r="W96" i="36"/>
  <c r="W95" i="36"/>
  <c r="W94" i="36"/>
  <c r="W93" i="36"/>
  <c r="W92" i="36"/>
  <c r="W91" i="36"/>
  <c r="W90" i="36"/>
  <c r="W89" i="36"/>
  <c r="W88" i="36"/>
  <c r="W87" i="36"/>
  <c r="W86" i="36"/>
  <c r="W85" i="36"/>
  <c r="W84" i="36"/>
  <c r="W83" i="36"/>
  <c r="W82" i="36"/>
  <c r="W81" i="36"/>
  <c r="W80" i="36"/>
  <c r="W78" i="36"/>
  <c r="W77" i="36"/>
  <c r="W76" i="36"/>
  <c r="W75" i="36"/>
  <c r="W73" i="36"/>
  <c r="W72" i="36"/>
  <c r="W71" i="36"/>
  <c r="W70" i="36"/>
  <c r="W69" i="36"/>
  <c r="W68" i="36"/>
  <c r="W67" i="36"/>
  <c r="W65" i="36"/>
  <c r="W64" i="36"/>
  <c r="W63" i="36"/>
  <c r="W62" i="36"/>
  <c r="W61" i="36"/>
  <c r="W60" i="36"/>
  <c r="W59" i="36"/>
  <c r="W58" i="36"/>
  <c r="W57" i="36"/>
  <c r="W56" i="36"/>
  <c r="W55" i="36"/>
  <c r="W54" i="36"/>
  <c r="W53" i="36"/>
  <c r="W51" i="36"/>
  <c r="W50" i="36"/>
  <c r="W49" i="36"/>
  <c r="W48" i="36"/>
  <c r="W47" i="36"/>
  <c r="W46" i="36"/>
  <c r="W45" i="36"/>
  <c r="W44" i="36"/>
  <c r="W43" i="36"/>
  <c r="S43" i="36"/>
  <c r="AD133" i="36"/>
  <c r="AD132" i="36"/>
  <c r="AD131" i="36"/>
  <c r="AD130" i="36"/>
  <c r="AD129" i="36"/>
  <c r="AD128" i="36"/>
  <c r="AD127" i="36"/>
  <c r="AD126" i="36"/>
  <c r="AD125" i="36"/>
  <c r="AD124" i="36"/>
  <c r="AD123" i="36"/>
  <c r="AD122" i="36"/>
  <c r="AD121" i="36"/>
  <c r="AD120" i="36"/>
  <c r="AD119" i="36"/>
  <c r="AD118" i="36"/>
  <c r="AD117" i="36"/>
  <c r="AD116" i="36"/>
  <c r="AD115" i="36"/>
  <c r="AD114" i="36"/>
  <c r="AD113" i="36"/>
  <c r="AD112" i="36"/>
  <c r="AD111" i="36"/>
  <c r="AD110" i="36"/>
  <c r="AD109" i="36"/>
  <c r="AD108" i="36"/>
  <c r="AD107" i="36"/>
  <c r="AD106" i="36"/>
  <c r="AD104" i="36"/>
  <c r="AD103" i="36"/>
  <c r="AD102" i="36"/>
  <c r="AD101" i="36"/>
  <c r="AD100" i="36"/>
  <c r="AD98" i="36"/>
  <c r="AD97" i="36"/>
  <c r="AD96" i="36"/>
  <c r="AD95" i="36"/>
  <c r="AD94" i="36"/>
  <c r="AD93" i="36"/>
  <c r="AD92" i="36"/>
  <c r="AD91" i="36"/>
  <c r="AD90" i="36"/>
  <c r="AD89" i="36"/>
  <c r="AD88" i="36"/>
  <c r="AD87" i="36"/>
  <c r="AD86" i="36"/>
  <c r="AD85" i="36"/>
  <c r="AD84" i="36"/>
  <c r="AD83" i="36"/>
  <c r="AD82" i="36"/>
  <c r="AD81" i="36"/>
  <c r="AD80" i="36"/>
  <c r="AD78" i="36"/>
  <c r="AD77" i="36"/>
  <c r="AD76" i="36"/>
  <c r="AD75" i="36"/>
  <c r="AD73" i="36"/>
  <c r="AD72" i="36"/>
  <c r="AD71" i="36"/>
  <c r="AD70" i="36"/>
  <c r="AD69" i="36"/>
  <c r="AD68" i="36"/>
  <c r="AD67" i="36"/>
  <c r="AD65" i="36"/>
  <c r="AD64" i="36"/>
  <c r="AD63" i="36"/>
  <c r="AD62" i="36"/>
  <c r="AD61" i="36"/>
  <c r="AD60" i="36"/>
  <c r="AD59" i="36"/>
  <c r="AD58" i="36"/>
  <c r="AD57" i="36"/>
  <c r="AD56" i="36"/>
  <c r="AD55" i="36"/>
  <c r="AD54" i="36"/>
  <c r="AD53" i="36"/>
  <c r="AD51" i="36"/>
  <c r="AD50" i="36"/>
  <c r="AD49" i="36"/>
  <c r="AD48" i="36"/>
  <c r="AD47" i="36"/>
  <c r="AD46" i="36"/>
  <c r="AD45" i="36"/>
  <c r="AD44" i="36"/>
  <c r="AD43" i="36"/>
  <c r="Z43" i="36"/>
  <c r="AK133" i="36"/>
  <c r="AK132" i="36"/>
  <c r="AK131" i="36"/>
  <c r="AK130" i="36"/>
  <c r="AK129" i="36"/>
  <c r="AK128" i="36"/>
  <c r="AK127" i="36"/>
  <c r="AK126" i="36"/>
  <c r="AK125" i="36"/>
  <c r="AK124" i="36"/>
  <c r="AK123" i="36"/>
  <c r="AK122" i="36"/>
  <c r="AK121" i="36"/>
  <c r="AK120" i="36"/>
  <c r="AK119" i="36"/>
  <c r="AK118" i="36"/>
  <c r="AK117" i="36"/>
  <c r="AK116" i="36"/>
  <c r="AK115" i="36"/>
  <c r="AK114" i="36"/>
  <c r="AK113" i="36"/>
  <c r="AK112" i="36"/>
  <c r="AK111" i="36"/>
  <c r="AK110" i="36"/>
  <c r="AK109" i="36"/>
  <c r="AK108" i="36"/>
  <c r="AK107" i="36"/>
  <c r="AK106" i="36"/>
  <c r="AK104" i="36"/>
  <c r="AK103" i="36"/>
  <c r="AK102" i="36"/>
  <c r="AK101" i="36"/>
  <c r="AK100" i="36"/>
  <c r="AK98" i="36"/>
  <c r="AK97" i="36"/>
  <c r="AK96" i="36"/>
  <c r="AK95" i="36"/>
  <c r="AK94" i="36"/>
  <c r="AK93" i="36"/>
  <c r="AK92" i="36"/>
  <c r="AK91" i="36"/>
  <c r="AK90" i="36"/>
  <c r="AK89" i="36"/>
  <c r="AK88" i="36"/>
  <c r="AK87" i="36"/>
  <c r="AK86" i="36"/>
  <c r="AK85" i="36"/>
  <c r="AK84" i="36"/>
  <c r="AK83" i="36"/>
  <c r="AK82" i="36"/>
  <c r="AK81" i="36"/>
  <c r="AK80" i="36"/>
  <c r="AK78" i="36"/>
  <c r="AK77" i="36"/>
  <c r="AK76" i="36"/>
  <c r="AK75" i="36"/>
  <c r="AK73" i="36"/>
  <c r="AK72" i="36"/>
  <c r="AK71" i="36"/>
  <c r="AK70" i="36"/>
  <c r="AK69" i="36"/>
  <c r="AK68" i="36"/>
  <c r="AK67" i="36"/>
  <c r="AK65" i="36"/>
  <c r="AK64" i="36"/>
  <c r="AK63" i="36"/>
  <c r="AK62" i="36"/>
  <c r="AK61" i="36"/>
  <c r="AK60" i="36"/>
  <c r="AK59" i="36"/>
  <c r="AK58" i="36"/>
  <c r="AK57" i="36"/>
  <c r="AK56" i="36"/>
  <c r="AK55" i="36"/>
  <c r="AK54" i="36"/>
  <c r="AK53" i="36"/>
  <c r="AK51" i="36"/>
  <c r="AK50" i="36"/>
  <c r="AK49" i="36"/>
  <c r="AK48" i="36"/>
  <c r="AK47" i="36"/>
  <c r="AK46" i="36"/>
  <c r="AK45" i="36"/>
  <c r="AK44" i="36"/>
  <c r="AK43" i="36"/>
  <c r="AG43" i="36"/>
  <c r="AR133" i="36"/>
  <c r="AR132" i="36"/>
  <c r="AR131" i="36"/>
  <c r="AR130" i="36"/>
  <c r="AR129" i="36"/>
  <c r="AR128" i="36"/>
  <c r="AR127" i="36"/>
  <c r="AR126" i="36"/>
  <c r="AR125" i="36"/>
  <c r="AR124" i="36"/>
  <c r="AR123" i="36"/>
  <c r="AR122" i="36"/>
  <c r="AR121" i="36"/>
  <c r="AR120" i="36"/>
  <c r="AR119" i="36"/>
  <c r="AR118" i="36"/>
  <c r="AR117" i="36"/>
  <c r="AR116" i="36"/>
  <c r="AR115" i="36"/>
  <c r="AR114" i="36"/>
  <c r="AR113" i="36"/>
  <c r="AR112" i="36"/>
  <c r="AR111" i="36"/>
  <c r="AR110" i="36"/>
  <c r="AR109" i="36"/>
  <c r="AR108" i="36"/>
  <c r="AR107" i="36"/>
  <c r="AR106" i="36"/>
  <c r="AR104" i="36"/>
  <c r="AR103" i="36"/>
  <c r="AR102" i="36"/>
  <c r="AR101" i="36"/>
  <c r="AR100" i="36"/>
  <c r="AR98" i="36"/>
  <c r="AR97" i="36"/>
  <c r="AR96" i="36"/>
  <c r="AR95" i="36"/>
  <c r="AR94" i="36"/>
  <c r="AR93" i="36"/>
  <c r="AR92" i="36"/>
  <c r="AR91" i="36"/>
  <c r="AR90" i="36"/>
  <c r="AR89" i="36"/>
  <c r="AR88" i="36"/>
  <c r="AR87" i="36"/>
  <c r="AR86" i="36"/>
  <c r="AR85" i="36"/>
  <c r="AR84" i="36"/>
  <c r="AR83" i="36"/>
  <c r="AR82" i="36"/>
  <c r="AR81" i="36"/>
  <c r="AR80" i="36"/>
  <c r="AR78" i="36"/>
  <c r="AR77" i="36"/>
  <c r="AR76" i="36"/>
  <c r="AR75" i="36"/>
  <c r="AR73" i="36"/>
  <c r="AR72" i="36"/>
  <c r="AR71" i="36"/>
  <c r="AR70" i="36"/>
  <c r="AR69" i="36"/>
  <c r="AR68" i="36"/>
  <c r="AR67" i="36"/>
  <c r="AR65" i="36"/>
  <c r="AR64" i="36"/>
  <c r="AR63" i="36"/>
  <c r="AR62" i="36"/>
  <c r="AR61" i="36"/>
  <c r="AR60" i="36"/>
  <c r="AR59" i="36"/>
  <c r="AR58" i="36"/>
  <c r="AR57" i="36"/>
  <c r="AR56" i="36"/>
  <c r="AR55" i="36"/>
  <c r="AR54" i="36"/>
  <c r="AR53" i="36"/>
  <c r="AR51" i="36"/>
  <c r="AR50" i="36"/>
  <c r="AR49" i="36"/>
  <c r="AR48" i="36"/>
  <c r="AR47" i="36"/>
  <c r="AR46" i="36"/>
  <c r="AR45" i="36"/>
  <c r="AR44" i="36"/>
  <c r="AR43" i="36"/>
  <c r="AN43" i="36"/>
  <c r="AY133" i="36"/>
  <c r="AY132" i="36"/>
  <c r="AY131" i="36"/>
  <c r="AY130" i="36"/>
  <c r="AY129" i="36"/>
  <c r="AY128" i="36"/>
  <c r="AY127" i="36"/>
  <c r="AY126" i="36"/>
  <c r="AY125" i="36"/>
  <c r="AY124" i="36"/>
  <c r="AY123" i="36"/>
  <c r="AY122" i="36"/>
  <c r="AY121" i="36"/>
  <c r="AY120" i="36"/>
  <c r="AY119" i="36"/>
  <c r="AY118" i="36"/>
  <c r="AY117" i="36"/>
  <c r="AY116" i="36"/>
  <c r="AY115" i="36"/>
  <c r="AY114" i="36"/>
  <c r="AY113" i="36"/>
  <c r="AY112" i="36"/>
  <c r="AY111" i="36"/>
  <c r="AY110" i="36"/>
  <c r="AY109" i="36"/>
  <c r="AY108" i="36"/>
  <c r="AY107" i="36"/>
  <c r="AY106" i="36"/>
  <c r="AY104" i="36"/>
  <c r="AY103" i="36"/>
  <c r="AY102" i="36"/>
  <c r="AY101" i="36"/>
  <c r="AY100" i="36"/>
  <c r="AY98" i="36"/>
  <c r="AY97" i="36"/>
  <c r="AY96" i="36"/>
  <c r="AY95" i="36"/>
  <c r="AY94" i="36"/>
  <c r="AY93" i="36"/>
  <c r="AY92" i="36"/>
  <c r="AY91" i="36"/>
  <c r="AY90" i="36"/>
  <c r="AY89" i="36"/>
  <c r="AY88" i="36"/>
  <c r="AY87" i="36"/>
  <c r="AY86" i="36"/>
  <c r="AY85" i="36"/>
  <c r="AY84" i="36"/>
  <c r="AY83" i="36"/>
  <c r="AY82" i="36"/>
  <c r="AY81" i="36"/>
  <c r="AY80" i="36"/>
  <c r="AY78" i="36"/>
  <c r="AY77" i="36"/>
  <c r="AY76" i="36"/>
  <c r="AY75" i="36"/>
  <c r="AY73" i="36"/>
  <c r="AY72" i="36"/>
  <c r="AY71" i="36"/>
  <c r="AY70" i="36"/>
  <c r="AY69" i="36"/>
  <c r="AY68" i="36"/>
  <c r="AY67" i="36"/>
  <c r="AY65" i="36"/>
  <c r="AY64" i="36"/>
  <c r="AY63" i="36"/>
  <c r="AY62" i="36"/>
  <c r="AY61" i="36"/>
  <c r="AY60" i="36"/>
  <c r="AY59" i="36"/>
  <c r="AY58" i="36"/>
  <c r="AY57" i="36"/>
  <c r="AY56" i="36"/>
  <c r="AY55" i="36"/>
  <c r="AY54" i="36"/>
  <c r="AY53" i="36"/>
  <c r="AY51" i="36"/>
  <c r="AY50" i="36"/>
  <c r="AY49" i="36"/>
  <c r="AY48" i="36"/>
  <c r="AY47" i="36"/>
  <c r="AY46" i="36"/>
  <c r="AY45" i="36"/>
  <c r="AY44" i="36"/>
  <c r="AY43" i="36"/>
  <c r="AU43" i="36"/>
  <c r="BF133" i="36"/>
  <c r="BF132" i="36"/>
  <c r="BF131" i="36"/>
  <c r="BF130" i="36"/>
  <c r="BF129" i="36"/>
  <c r="BF128" i="36"/>
  <c r="BF127" i="36"/>
  <c r="BF126" i="36"/>
  <c r="BF125" i="36"/>
  <c r="BF124" i="36"/>
  <c r="BF123" i="36"/>
  <c r="BF122" i="36"/>
  <c r="BF121" i="36"/>
  <c r="BF120" i="36"/>
  <c r="BF119" i="36"/>
  <c r="BF118" i="36"/>
  <c r="BF117" i="36"/>
  <c r="BF116" i="36"/>
  <c r="BF115" i="36"/>
  <c r="BF114" i="36"/>
  <c r="BF113" i="36"/>
  <c r="BF112" i="36"/>
  <c r="BF111" i="36"/>
  <c r="BF110" i="36"/>
  <c r="BF109" i="36"/>
  <c r="BF108" i="36"/>
  <c r="BF107" i="36"/>
  <c r="BF106" i="36"/>
  <c r="BF104" i="36"/>
  <c r="BF103" i="36"/>
  <c r="BF102" i="36"/>
  <c r="BF101" i="36"/>
  <c r="BF100" i="36"/>
  <c r="BF98" i="36"/>
  <c r="BF97" i="36"/>
  <c r="BF96" i="36"/>
  <c r="BF95" i="36"/>
  <c r="BF94" i="36"/>
  <c r="BF93" i="36"/>
  <c r="BF92" i="36"/>
  <c r="BF91" i="36"/>
  <c r="BF90" i="36"/>
  <c r="BF89" i="36"/>
  <c r="BF88" i="36"/>
  <c r="BF87" i="36"/>
  <c r="BF86" i="36"/>
  <c r="BF85" i="36"/>
  <c r="BF84" i="36"/>
  <c r="BF83" i="36"/>
  <c r="BF82" i="36"/>
  <c r="BF81" i="36"/>
  <c r="BF80" i="36"/>
  <c r="BF78" i="36"/>
  <c r="BF77" i="36"/>
  <c r="BF76" i="36"/>
  <c r="BF75" i="36"/>
  <c r="BF73" i="36"/>
  <c r="BF72" i="36"/>
  <c r="BF71" i="36"/>
  <c r="BF70" i="36"/>
  <c r="BF69" i="36"/>
  <c r="BF68" i="36"/>
  <c r="BF67" i="36"/>
  <c r="BF65" i="36"/>
  <c r="BF64" i="36"/>
  <c r="BF63" i="36"/>
  <c r="BF62" i="36"/>
  <c r="BF61" i="36"/>
  <c r="BF60" i="36"/>
  <c r="BF59" i="36"/>
  <c r="BF58" i="36"/>
  <c r="BF57" i="36"/>
  <c r="BF56" i="36"/>
  <c r="BF55" i="36"/>
  <c r="BF54" i="36"/>
  <c r="BF53" i="36"/>
  <c r="BF51" i="36"/>
  <c r="BF50" i="36"/>
  <c r="BF49" i="36"/>
  <c r="BF48" i="36"/>
  <c r="BF47" i="36"/>
  <c r="BF46" i="36"/>
  <c r="BF45" i="36"/>
  <c r="BF44" i="36"/>
  <c r="BF43" i="36"/>
  <c r="BB43" i="36"/>
  <c r="BM133" i="36"/>
  <c r="BK133" i="36" s="1"/>
  <c r="BM132" i="36"/>
  <c r="BK132" i="36" s="1"/>
  <c r="BM131" i="36"/>
  <c r="BK131" i="36" s="1"/>
  <c r="BM130" i="36"/>
  <c r="BK130" i="36" s="1"/>
  <c r="BM129" i="36"/>
  <c r="BK129" i="36" s="1"/>
  <c r="BM128" i="36"/>
  <c r="BK128" i="36" s="1"/>
  <c r="BM127" i="36"/>
  <c r="BK127" i="36" s="1"/>
  <c r="BM126" i="36"/>
  <c r="BK126" i="36" s="1"/>
  <c r="BM125" i="36"/>
  <c r="BK125" i="36" s="1"/>
  <c r="BM124" i="36"/>
  <c r="BK124" i="36" s="1"/>
  <c r="BM123" i="36"/>
  <c r="BK123" i="36" s="1"/>
  <c r="BM122" i="36"/>
  <c r="BK122" i="36" s="1"/>
  <c r="BM121" i="36"/>
  <c r="BK121" i="36" s="1"/>
  <c r="BI121" i="36"/>
  <c r="BM120" i="36"/>
  <c r="BK120" i="36" s="1"/>
  <c r="BM119" i="36"/>
  <c r="BK119" i="36" s="1"/>
  <c r="BM118" i="36"/>
  <c r="BK118" i="36" s="1"/>
  <c r="BM117" i="36"/>
  <c r="BK117" i="36" s="1"/>
  <c r="BM116" i="36"/>
  <c r="BK116" i="36" s="1"/>
  <c r="BM115" i="36"/>
  <c r="BK115" i="36" s="1"/>
  <c r="BM114" i="36"/>
  <c r="BK114" i="36" s="1"/>
  <c r="BM113" i="36"/>
  <c r="BK113" i="36" s="1"/>
  <c r="BM112" i="36"/>
  <c r="BK112" i="36" s="1"/>
  <c r="BM111" i="36"/>
  <c r="BK111" i="36" s="1"/>
  <c r="BM110" i="36"/>
  <c r="BK110" i="36" s="1"/>
  <c r="BM109" i="36"/>
  <c r="BK109" i="36" s="1"/>
  <c r="BI109" i="36"/>
  <c r="BM108" i="36"/>
  <c r="BK108" i="36" s="1"/>
  <c r="BI108" i="36"/>
  <c r="BM107" i="36"/>
  <c r="BK107" i="36" s="1"/>
  <c r="BI107" i="36"/>
  <c r="BM106" i="36"/>
  <c r="BK106" i="36" s="1"/>
  <c r="BM104" i="36"/>
  <c r="BK104" i="36" s="1"/>
  <c r="BM103" i="36"/>
  <c r="BK103" i="36" s="1"/>
  <c r="BM102" i="36"/>
  <c r="BK102" i="36" s="1"/>
  <c r="BM101" i="36"/>
  <c r="BK101" i="36" s="1"/>
  <c r="BM100" i="36"/>
  <c r="BK100" i="36" s="1"/>
  <c r="BM98" i="36"/>
  <c r="BK98" i="36" s="1"/>
  <c r="BM97" i="36"/>
  <c r="BK97" i="36" s="1"/>
  <c r="BI97" i="36"/>
  <c r="BM96" i="36"/>
  <c r="BK96" i="36" s="1"/>
  <c r="BM95" i="36"/>
  <c r="BK95" i="36" s="1"/>
  <c r="BM94" i="36"/>
  <c r="BK94" i="36" s="1"/>
  <c r="BM93" i="36"/>
  <c r="BK93" i="36" s="1"/>
  <c r="BM92" i="36"/>
  <c r="BK92" i="36" s="1"/>
  <c r="BM91" i="36"/>
  <c r="BK91" i="36" s="1"/>
  <c r="BM90" i="36"/>
  <c r="BK90" i="36" s="1"/>
  <c r="BI90" i="36"/>
  <c r="BM89" i="36"/>
  <c r="BK89" i="36" s="1"/>
  <c r="BI89" i="36"/>
  <c r="BM88" i="36"/>
  <c r="BK88" i="36" s="1"/>
  <c r="BI88" i="36"/>
  <c r="BM87" i="36"/>
  <c r="BK87" i="36" s="1"/>
  <c r="BI87" i="36"/>
  <c r="BM86" i="36"/>
  <c r="BK86" i="36" s="1"/>
  <c r="BM85" i="36"/>
  <c r="BK85" i="36" s="1"/>
  <c r="BI85" i="36"/>
  <c r="BM84" i="36"/>
  <c r="BK84" i="36" s="1"/>
  <c r="BM83" i="36"/>
  <c r="BK83" i="36" s="1"/>
  <c r="BI83" i="36"/>
  <c r="BM82" i="36"/>
  <c r="BK82" i="36" s="1"/>
  <c r="BM81" i="36"/>
  <c r="BK81" i="36" s="1"/>
  <c r="BM80" i="36"/>
  <c r="BK80" i="36" s="1"/>
  <c r="BM78" i="36"/>
  <c r="BK78" i="36" s="1"/>
  <c r="BM77" i="36"/>
  <c r="BK77" i="36" s="1"/>
  <c r="BI77" i="36"/>
  <c r="BM76" i="36"/>
  <c r="BK76" i="36" s="1"/>
  <c r="BM75" i="36"/>
  <c r="BK75" i="36" s="1"/>
  <c r="BM73" i="36"/>
  <c r="BK73" i="36" s="1"/>
  <c r="BM72" i="36"/>
  <c r="BK72" i="36" s="1"/>
  <c r="BM71" i="36"/>
  <c r="BK71" i="36" s="1"/>
  <c r="BI71" i="36"/>
  <c r="BM70" i="36"/>
  <c r="BK70" i="36" s="1"/>
  <c r="BM69" i="36"/>
  <c r="BK69" i="36" s="1"/>
  <c r="BM68" i="36"/>
  <c r="BK68" i="36" s="1"/>
  <c r="BM67" i="36"/>
  <c r="BK67" i="36" s="1"/>
  <c r="BM65" i="36"/>
  <c r="BK65" i="36" s="1"/>
  <c r="BM64" i="36"/>
  <c r="BK64" i="36" s="1"/>
  <c r="BM63" i="36"/>
  <c r="BK63" i="36" s="1"/>
  <c r="BM62" i="36"/>
  <c r="BK62" i="36" s="1"/>
  <c r="BM61" i="36"/>
  <c r="BK61" i="36" s="1"/>
  <c r="BM60" i="36"/>
  <c r="BK60" i="36" s="1"/>
  <c r="BM59" i="36"/>
  <c r="BK59" i="36" s="1"/>
  <c r="BM58" i="36"/>
  <c r="BK58" i="36" s="1"/>
  <c r="BM57" i="36"/>
  <c r="BK57" i="36" s="1"/>
  <c r="BM56" i="36"/>
  <c r="BK56" i="36" s="1"/>
  <c r="BM55" i="36"/>
  <c r="BK55" i="36" s="1"/>
  <c r="BM54" i="36"/>
  <c r="BK54" i="36" s="1"/>
  <c r="BI54" i="36"/>
  <c r="BM53" i="36"/>
  <c r="BK53" i="36" s="1"/>
  <c r="BM51" i="36"/>
  <c r="BK51" i="36" s="1"/>
  <c r="BM50" i="36"/>
  <c r="BK50" i="36" s="1"/>
  <c r="BM49" i="36"/>
  <c r="BK49" i="36" s="1"/>
  <c r="BI49" i="36"/>
  <c r="BM48" i="36"/>
  <c r="BK48" i="36" s="1"/>
  <c r="BI48" i="36"/>
  <c r="BM47" i="36"/>
  <c r="BK47" i="36" s="1"/>
  <c r="BM46" i="36"/>
  <c r="BK46" i="36" s="1"/>
  <c r="BI46" i="36"/>
  <c r="BM45" i="36"/>
  <c r="BK45" i="36" s="1"/>
  <c r="BM44" i="36"/>
  <c r="BK44" i="36" s="1"/>
  <c r="BI44" i="36"/>
  <c r="BM43" i="36"/>
  <c r="BK43" i="36" s="1"/>
  <c r="BI43" i="36"/>
  <c r="BT133" i="36"/>
  <c r="BT132" i="36"/>
  <c r="BT131" i="36"/>
  <c r="BT130" i="36"/>
  <c r="BT129" i="36"/>
  <c r="BT128" i="36"/>
  <c r="BT127" i="36"/>
  <c r="BT126" i="36"/>
  <c r="BT125" i="36"/>
  <c r="BT124" i="36"/>
  <c r="BT123" i="36"/>
  <c r="BT122" i="36"/>
  <c r="BT121" i="36"/>
  <c r="BP121" i="36"/>
  <c r="BT120" i="36"/>
  <c r="BT119" i="36"/>
  <c r="BT118" i="36"/>
  <c r="BT117" i="36"/>
  <c r="BT116" i="36"/>
  <c r="BT115" i="36"/>
  <c r="BT114" i="36"/>
  <c r="BT113" i="36"/>
  <c r="BT112" i="36"/>
  <c r="BT111" i="36"/>
  <c r="BT110" i="36"/>
  <c r="BT109" i="36"/>
  <c r="BP109" i="36"/>
  <c r="BT108" i="36"/>
  <c r="BP108" i="36"/>
  <c r="BT107" i="36"/>
  <c r="BP107" i="36"/>
  <c r="BT106" i="36"/>
  <c r="BT104" i="36"/>
  <c r="BT103" i="36"/>
  <c r="BT102" i="36"/>
  <c r="BT101" i="36"/>
  <c r="BT100" i="36"/>
  <c r="BT98" i="36"/>
  <c r="BT97" i="36"/>
  <c r="BP97" i="36"/>
  <c r="BT96" i="36"/>
  <c r="BT95" i="36"/>
  <c r="BT94" i="36"/>
  <c r="BT93" i="36"/>
  <c r="BT92" i="36"/>
  <c r="BT91" i="36"/>
  <c r="BT90" i="36"/>
  <c r="BP90" i="36"/>
  <c r="BT89" i="36"/>
  <c r="BP89" i="36"/>
  <c r="BT88" i="36"/>
  <c r="BP88" i="36"/>
  <c r="BT87" i="36"/>
  <c r="BP87" i="36"/>
  <c r="BT86" i="36"/>
  <c r="BT85" i="36"/>
  <c r="BP85" i="36"/>
  <c r="BT84" i="36"/>
  <c r="BT83" i="36"/>
  <c r="BP83" i="36"/>
  <c r="BT82" i="36"/>
  <c r="BT81" i="36"/>
  <c r="BT80" i="36"/>
  <c r="BT78" i="36"/>
  <c r="BT77" i="36"/>
  <c r="BP77" i="36"/>
  <c r="BT76" i="36"/>
  <c r="BT75" i="36"/>
  <c r="BT73" i="36"/>
  <c r="BT72" i="36"/>
  <c r="BT71" i="36"/>
  <c r="BP71" i="36"/>
  <c r="BT70" i="36"/>
  <c r="BT69" i="36"/>
  <c r="BT68" i="36"/>
  <c r="BT67" i="36"/>
  <c r="BT65" i="36"/>
  <c r="BT64" i="36"/>
  <c r="BT63" i="36"/>
  <c r="BT62" i="36"/>
  <c r="BT61" i="36"/>
  <c r="BT60" i="36"/>
  <c r="BT59" i="36"/>
  <c r="BT58" i="36"/>
  <c r="BT57" i="36"/>
  <c r="BT56" i="36"/>
  <c r="BT55" i="36"/>
  <c r="BT54" i="36"/>
  <c r="BP54" i="36"/>
  <c r="BT53" i="36"/>
  <c r="BT51" i="36"/>
  <c r="BT50" i="36"/>
  <c r="BT49" i="36"/>
  <c r="BP49" i="36"/>
  <c r="BT48" i="36"/>
  <c r="BP48" i="36"/>
  <c r="BT47" i="36"/>
  <c r="BT46" i="36"/>
  <c r="BP46" i="36"/>
  <c r="BT45" i="36"/>
  <c r="BT44" i="36"/>
  <c r="BP44" i="36"/>
  <c r="BT43" i="36"/>
  <c r="BP43" i="36"/>
  <c r="CA43" i="36"/>
  <c r="CA133" i="36"/>
  <c r="CA132" i="36"/>
  <c r="CA131" i="36"/>
  <c r="CA130" i="36"/>
  <c r="CA129" i="36"/>
  <c r="CA128" i="36"/>
  <c r="CA127" i="36"/>
  <c r="CA126" i="36"/>
  <c r="CA125" i="36"/>
  <c r="CA124" i="36"/>
  <c r="CA123" i="36"/>
  <c r="CA122" i="36"/>
  <c r="CA121" i="36"/>
  <c r="BW121" i="36"/>
  <c r="CA120" i="36"/>
  <c r="CA119" i="36"/>
  <c r="CA118" i="36"/>
  <c r="CA117" i="36"/>
  <c r="CA116" i="36"/>
  <c r="CA115" i="36"/>
  <c r="CA114" i="36"/>
  <c r="CA113" i="36"/>
  <c r="CA112" i="36"/>
  <c r="CA111" i="36"/>
  <c r="CA110" i="36"/>
  <c r="CA109" i="36"/>
  <c r="BW109" i="36"/>
  <c r="CA108" i="36"/>
  <c r="BW108" i="36"/>
  <c r="CA107" i="36"/>
  <c r="BW107" i="36"/>
  <c r="CA106" i="36"/>
  <c r="CA104" i="36"/>
  <c r="CA103" i="36"/>
  <c r="CA102" i="36"/>
  <c r="CA101" i="36"/>
  <c r="CA100" i="36"/>
  <c r="CA98" i="36"/>
  <c r="CA97" i="36"/>
  <c r="BW97" i="36"/>
  <c r="CA96" i="36"/>
  <c r="CA95" i="36"/>
  <c r="CA94" i="36"/>
  <c r="CA93" i="36"/>
  <c r="CA92" i="36"/>
  <c r="CA91" i="36"/>
  <c r="CA90" i="36"/>
  <c r="BW90" i="36"/>
  <c r="CA89" i="36"/>
  <c r="BW89" i="36"/>
  <c r="CA88" i="36"/>
  <c r="BW88" i="36"/>
  <c r="CA87" i="36"/>
  <c r="BW87" i="36"/>
  <c r="CA86" i="36"/>
  <c r="CA85" i="36"/>
  <c r="BW85" i="36"/>
  <c r="CA84" i="36"/>
  <c r="CA83" i="36"/>
  <c r="BW83" i="36"/>
  <c r="CA82" i="36"/>
  <c r="CA81" i="36"/>
  <c r="CA80" i="36"/>
  <c r="CA78" i="36"/>
  <c r="CA77" i="36"/>
  <c r="BW77" i="36"/>
  <c r="CA76" i="36"/>
  <c r="CA75" i="36"/>
  <c r="CA73" i="36"/>
  <c r="CA72" i="36"/>
  <c r="CA71" i="36"/>
  <c r="BW71" i="36"/>
  <c r="CA70" i="36"/>
  <c r="CA69" i="36"/>
  <c r="CA68" i="36"/>
  <c r="CA67" i="36"/>
  <c r="CA65" i="36"/>
  <c r="CA64" i="36"/>
  <c r="CA63" i="36"/>
  <c r="CA62" i="36"/>
  <c r="CA61" i="36"/>
  <c r="CA60" i="36"/>
  <c r="CA59" i="36"/>
  <c r="CA58" i="36"/>
  <c r="CA57" i="36"/>
  <c r="CA56" i="36"/>
  <c r="CA55" i="36"/>
  <c r="CA54" i="36"/>
  <c r="BW54" i="36"/>
  <c r="CA53" i="36"/>
  <c r="CA51" i="36"/>
  <c r="CA50" i="36"/>
  <c r="CA49" i="36"/>
  <c r="BW49" i="36"/>
  <c r="CA48" i="36"/>
  <c r="BW48" i="36"/>
  <c r="CA47" i="36"/>
  <c r="CA46" i="36"/>
  <c r="BW46" i="36"/>
  <c r="CA45" i="36"/>
  <c r="CA44" i="36"/>
  <c r="BW44" i="36"/>
  <c r="BW43" i="36"/>
  <c r="CH43" i="36"/>
  <c r="CD44" i="36"/>
  <c r="CH44" i="36"/>
  <c r="CH45" i="36"/>
  <c r="CD46" i="36"/>
  <c r="CH46" i="36"/>
  <c r="CH47" i="36"/>
  <c r="CD48" i="36"/>
  <c r="CH48" i="36"/>
  <c r="CD49" i="36"/>
  <c r="CH49" i="36"/>
  <c r="CH50" i="36"/>
  <c r="CH51" i="36"/>
  <c r="CH53" i="36"/>
  <c r="CD54" i="36"/>
  <c r="CH54" i="36"/>
  <c r="CH55" i="36"/>
  <c r="CH56" i="36"/>
  <c r="CH57" i="36"/>
  <c r="CH58" i="36"/>
  <c r="CH59" i="36"/>
  <c r="CH60" i="36"/>
  <c r="CH61" i="36"/>
  <c r="CH62" i="36"/>
  <c r="CH63" i="36"/>
  <c r="CH64" i="36"/>
  <c r="CH65" i="36"/>
  <c r="CH67" i="36"/>
  <c r="CH68" i="36"/>
  <c r="CH69" i="36"/>
  <c r="CH70" i="36"/>
  <c r="CD71" i="36"/>
  <c r="CH71" i="36"/>
  <c r="CH72" i="36"/>
  <c r="CH73" i="36"/>
  <c r="CH75" i="36"/>
  <c r="CH76" i="36"/>
  <c r="CD77" i="36"/>
  <c r="CH77" i="36"/>
  <c r="CH78" i="36"/>
  <c r="CH80" i="36"/>
  <c r="CH81" i="36"/>
  <c r="CH82" i="36"/>
  <c r="CD83" i="36"/>
  <c r="CH83" i="36"/>
  <c r="CH84" i="36"/>
  <c r="CD85" i="36"/>
  <c r="CH85" i="36"/>
  <c r="CH86" i="36"/>
  <c r="CD87" i="36"/>
  <c r="CH87" i="36"/>
  <c r="CD88" i="36"/>
  <c r="CH88" i="36"/>
  <c r="CD89" i="36"/>
  <c r="CH89" i="36"/>
  <c r="CD90" i="36"/>
  <c r="CH90" i="36"/>
  <c r="CH91" i="36"/>
  <c r="CH92" i="36"/>
  <c r="CH93" i="36"/>
  <c r="CH94" i="36"/>
  <c r="CH95" i="36"/>
  <c r="CH96" i="36"/>
  <c r="CD97" i="36"/>
  <c r="CH97" i="36"/>
  <c r="CH98" i="36"/>
  <c r="CH100" i="36"/>
  <c r="CH101" i="36"/>
  <c r="CH102" i="36"/>
  <c r="CH103" i="36"/>
  <c r="CH104" i="36"/>
  <c r="CH106" i="36"/>
  <c r="CD107" i="36"/>
  <c r="CH107" i="36"/>
  <c r="CD108" i="36"/>
  <c r="CH108" i="36"/>
  <c r="CD109" i="36"/>
  <c r="CH109" i="36"/>
  <c r="CH110" i="36"/>
  <c r="CH111" i="36"/>
  <c r="CH112" i="36"/>
  <c r="CH113" i="36"/>
  <c r="CH114" i="36"/>
  <c r="CH115" i="36"/>
  <c r="CH116" i="36"/>
  <c r="CH117" i="36"/>
  <c r="CH118" i="36"/>
  <c r="CH119" i="36"/>
  <c r="CH120" i="36"/>
  <c r="CD121" i="36"/>
  <c r="CH121" i="36"/>
  <c r="CH122" i="36"/>
  <c r="CH123" i="36"/>
  <c r="CH124" i="36"/>
  <c r="CH125" i="36"/>
  <c r="CH126" i="36"/>
  <c r="CH127" i="36"/>
  <c r="CH128" i="36"/>
  <c r="CH129" i="36"/>
  <c r="CH130" i="36"/>
  <c r="CH131" i="36"/>
  <c r="CH132" i="36"/>
  <c r="CH133" i="36"/>
  <c r="CH26" i="36"/>
  <c r="CH27" i="36"/>
  <c r="CH28" i="36"/>
  <c r="CH29" i="36"/>
  <c r="CH30" i="36"/>
  <c r="CH31" i="36"/>
  <c r="CH32" i="36"/>
  <c r="CH33" i="36"/>
  <c r="CH34" i="36"/>
  <c r="CH35" i="36"/>
  <c r="CH36" i="36"/>
  <c r="CD43" i="36"/>
  <c r="AR26" i="36"/>
  <c r="AY26" i="36"/>
  <c r="AW26" i="36" s="1"/>
  <c r="BF26" i="36"/>
  <c r="BD26" i="36" s="1"/>
  <c r="BM26" i="36"/>
  <c r="BK26" i="36" s="1"/>
  <c r="BT26" i="36"/>
  <c r="BR26" i="36" s="1"/>
  <c r="CA26" i="36"/>
  <c r="BY26" i="36" s="1"/>
  <c r="AR27" i="36"/>
  <c r="AY27" i="36"/>
  <c r="AW27" i="36" s="1"/>
  <c r="BF27" i="36"/>
  <c r="BD27" i="36" s="1"/>
  <c r="BM27" i="36"/>
  <c r="BK27" i="36" s="1"/>
  <c r="BT27" i="36"/>
  <c r="BR27" i="36" s="1"/>
  <c r="CA27" i="36"/>
  <c r="BY27" i="36" s="1"/>
  <c r="AR28" i="36"/>
  <c r="AY28" i="36"/>
  <c r="AW28" i="36" s="1"/>
  <c r="BF28" i="36"/>
  <c r="BD28" i="36" s="1"/>
  <c r="BM28" i="36"/>
  <c r="BK28" i="36" s="1"/>
  <c r="BT28" i="36"/>
  <c r="BR28" i="36" s="1"/>
  <c r="CA28" i="36"/>
  <c r="BY28" i="36" s="1"/>
  <c r="AR29" i="36"/>
  <c r="AY29" i="36"/>
  <c r="AW29" i="36" s="1"/>
  <c r="BF29" i="36"/>
  <c r="BD29" i="36" s="1"/>
  <c r="BM29" i="36"/>
  <c r="BK29" i="36" s="1"/>
  <c r="BT29" i="36"/>
  <c r="BR29" i="36" s="1"/>
  <c r="CA29" i="36"/>
  <c r="BY29" i="36" s="1"/>
  <c r="AR30" i="36"/>
  <c r="AY30" i="36"/>
  <c r="AW30" i="36" s="1"/>
  <c r="BF30" i="36"/>
  <c r="BD30" i="36" s="1"/>
  <c r="BM30" i="36"/>
  <c r="BK30" i="36" s="1"/>
  <c r="BT30" i="36"/>
  <c r="BR30" i="36" s="1"/>
  <c r="CA30" i="36"/>
  <c r="BY30" i="36" s="1"/>
  <c r="AR31" i="36"/>
  <c r="AY31" i="36"/>
  <c r="AW31" i="36" s="1"/>
  <c r="BF31" i="36"/>
  <c r="BD31" i="36" s="1"/>
  <c r="BM31" i="36"/>
  <c r="BK31" i="36" s="1"/>
  <c r="BT31" i="36"/>
  <c r="BR31" i="36" s="1"/>
  <c r="CA31" i="36"/>
  <c r="BY31" i="36" s="1"/>
  <c r="AR32" i="36"/>
  <c r="AY32" i="36"/>
  <c r="AW32" i="36" s="1"/>
  <c r="BF32" i="36"/>
  <c r="BD32" i="36" s="1"/>
  <c r="BM32" i="36"/>
  <c r="BK32" i="36" s="1"/>
  <c r="BT32" i="36"/>
  <c r="BR32" i="36" s="1"/>
  <c r="CA32" i="36"/>
  <c r="BY32" i="36" s="1"/>
  <c r="AR33" i="36"/>
  <c r="AY33" i="36"/>
  <c r="AW33" i="36" s="1"/>
  <c r="BF33" i="36"/>
  <c r="BD33" i="36" s="1"/>
  <c r="BM33" i="36"/>
  <c r="BK33" i="36" s="1"/>
  <c r="BT33" i="36"/>
  <c r="BR33" i="36" s="1"/>
  <c r="CA33" i="36"/>
  <c r="BY33" i="36" s="1"/>
  <c r="AR34" i="36"/>
  <c r="AY34" i="36"/>
  <c r="AW34" i="36" s="1"/>
  <c r="BF34" i="36"/>
  <c r="BD34" i="36" s="1"/>
  <c r="BM34" i="36"/>
  <c r="BK34" i="36" s="1"/>
  <c r="BT34" i="36"/>
  <c r="BR34" i="36" s="1"/>
  <c r="CA34" i="36"/>
  <c r="BY34" i="36" s="1"/>
  <c r="AR35" i="36"/>
  <c r="AY35" i="36"/>
  <c r="AW35" i="36" s="1"/>
  <c r="BF35" i="36"/>
  <c r="BD35" i="36" s="1"/>
  <c r="BM35" i="36"/>
  <c r="BK35" i="36" s="1"/>
  <c r="BT35" i="36"/>
  <c r="BR35" i="36" s="1"/>
  <c r="CA35" i="36"/>
  <c r="BY35" i="36" s="1"/>
  <c r="AR36" i="36"/>
  <c r="AY36" i="36"/>
  <c r="AW36" i="36" s="1"/>
  <c r="BF36" i="36"/>
  <c r="BD36" i="36" s="1"/>
  <c r="BM36" i="36"/>
  <c r="BK36" i="36" s="1"/>
  <c r="BT36" i="36"/>
  <c r="BR36" i="36" s="1"/>
  <c r="CA36" i="36"/>
  <c r="BY36" i="36" s="1"/>
  <c r="AK26" i="36"/>
  <c r="AK27" i="36"/>
  <c r="AK28" i="36"/>
  <c r="AK29" i="36"/>
  <c r="AK30" i="36"/>
  <c r="AK31" i="36"/>
  <c r="AK32" i="36"/>
  <c r="AK33" i="36"/>
  <c r="AK34" i="36"/>
  <c r="AK35" i="36"/>
  <c r="AK36" i="36"/>
  <c r="AD27" i="36"/>
  <c r="AD28" i="36"/>
  <c r="AD29" i="36"/>
  <c r="AD30" i="36"/>
  <c r="AD31" i="36"/>
  <c r="AD32" i="36"/>
  <c r="AD33" i="36"/>
  <c r="AD34" i="36"/>
  <c r="AD35" i="36"/>
  <c r="AD36" i="36"/>
  <c r="W26" i="36"/>
  <c r="W27" i="36"/>
  <c r="W28" i="36"/>
  <c r="W29" i="36"/>
  <c r="W30" i="36"/>
  <c r="W31" i="36"/>
  <c r="W32" i="36"/>
  <c r="W33" i="36"/>
  <c r="W34" i="36"/>
  <c r="W35" i="36"/>
  <c r="W36" i="36"/>
  <c r="L26" i="36"/>
  <c r="P26" i="36"/>
  <c r="L27" i="36"/>
  <c r="P27" i="36"/>
  <c r="L28" i="36"/>
  <c r="P28" i="36"/>
  <c r="L29" i="36"/>
  <c r="P29" i="36"/>
  <c r="L30" i="36"/>
  <c r="P30" i="36"/>
  <c r="L31" i="36"/>
  <c r="P31" i="36"/>
  <c r="L32" i="36"/>
  <c r="P32" i="36"/>
  <c r="L33" i="36"/>
  <c r="P33" i="36"/>
  <c r="L34" i="36"/>
  <c r="P34" i="36"/>
  <c r="L35" i="36"/>
  <c r="P35" i="36"/>
  <c r="L36" i="36"/>
  <c r="P36" i="36"/>
  <c r="AD26" i="36"/>
  <c r="AD25" i="36"/>
  <c r="W25" i="36"/>
  <c r="AB25" i="36" s="1"/>
  <c r="P25" i="36"/>
  <c r="H26" i="36"/>
  <c r="I26" i="36"/>
  <c r="G26" i="36" s="1"/>
  <c r="J26" i="36"/>
  <c r="H27" i="36"/>
  <c r="I27" i="36"/>
  <c r="G27" i="36" s="1"/>
  <c r="J27" i="36"/>
  <c r="H28" i="36"/>
  <c r="I28" i="36"/>
  <c r="G28" i="36" s="1"/>
  <c r="J28" i="36"/>
  <c r="H29" i="36"/>
  <c r="I29" i="36"/>
  <c r="G29" i="36" s="1"/>
  <c r="J29" i="36"/>
  <c r="H30" i="36"/>
  <c r="I30" i="36"/>
  <c r="G30" i="36" s="1"/>
  <c r="J30" i="36"/>
  <c r="H31" i="36"/>
  <c r="I31" i="36"/>
  <c r="G31" i="36" s="1"/>
  <c r="J31" i="36"/>
  <c r="H32" i="36"/>
  <c r="I32" i="36"/>
  <c r="G32" i="36" s="1"/>
  <c r="J32" i="36"/>
  <c r="H33" i="36"/>
  <c r="I33" i="36"/>
  <c r="G33" i="36" s="1"/>
  <c r="J33" i="36"/>
  <c r="H34" i="36"/>
  <c r="I34" i="36"/>
  <c r="G34" i="36" s="1"/>
  <c r="J34" i="36"/>
  <c r="H35" i="36"/>
  <c r="I35" i="36"/>
  <c r="G35" i="36" s="1"/>
  <c r="J35" i="36"/>
  <c r="H36" i="36"/>
  <c r="I36" i="36"/>
  <c r="G36" i="36" s="1"/>
  <c r="J36" i="36"/>
  <c r="O2" i="36"/>
  <c r="V2" i="36" s="1"/>
  <c r="AC2" i="36" s="1"/>
  <c r="AJ2" i="36" s="1"/>
  <c r="AQ2" i="36" s="1"/>
  <c r="AX2" i="36" s="1"/>
  <c r="BE2" i="36" s="1"/>
  <c r="BL2" i="36" s="1"/>
  <c r="BS2" i="36" s="1"/>
  <c r="BZ2" i="36" s="1"/>
  <c r="CG2" i="36" s="1"/>
  <c r="P2" i="36"/>
  <c r="W2" i="36" s="1"/>
  <c r="AD2" i="36" s="1"/>
  <c r="AK2" i="36" s="1"/>
  <c r="AR2" i="36" s="1"/>
  <c r="AY2" i="36" s="1"/>
  <c r="BF2" i="36" s="1"/>
  <c r="BM2" i="36" s="1"/>
  <c r="BT2" i="36" s="1"/>
  <c r="CA2" i="36" s="1"/>
  <c r="CH2" i="36" s="1"/>
  <c r="Q2" i="36"/>
  <c r="X2" i="36" s="1"/>
  <c r="AE2" i="36" s="1"/>
  <c r="AL2" i="36" s="1"/>
  <c r="AS2" i="36" s="1"/>
  <c r="AZ2" i="36" s="1"/>
  <c r="BG2" i="36" s="1"/>
  <c r="BN2" i="36" s="1"/>
  <c r="BU2" i="36" s="1"/>
  <c r="CB2" i="36" s="1"/>
  <c r="CI2" i="36" s="1"/>
  <c r="N2" i="36"/>
  <c r="U2" i="36" s="1"/>
  <c r="AB2" i="36" s="1"/>
  <c r="AI2" i="36" s="1"/>
  <c r="AP2" i="36" s="1"/>
  <c r="AW2" i="36" s="1"/>
  <c r="BD2" i="36" s="1"/>
  <c r="BK2" i="36" s="1"/>
  <c r="BR2" i="36" s="1"/>
  <c r="BY2" i="36" s="1"/>
  <c r="CF2" i="36" s="1"/>
  <c r="L2" i="36"/>
  <c r="S2" i="36" s="1"/>
  <c r="Z2" i="36" s="1"/>
  <c r="AG2" i="36" s="1"/>
  <c r="AN2" i="36" s="1"/>
  <c r="AU2" i="36" s="1"/>
  <c r="BB2" i="36" s="1"/>
  <c r="BI2" i="36" s="1"/>
  <c r="BP2" i="36" s="1"/>
  <c r="BW2" i="36" s="1"/>
  <c r="CD2" i="36" s="1"/>
  <c r="E131" i="36"/>
  <c r="H131" i="36"/>
  <c r="I131" i="36"/>
  <c r="G131" i="36" s="1"/>
  <c r="J131" i="36"/>
  <c r="H71" i="36"/>
  <c r="AG9" i="36"/>
  <c r="AN9" i="36" s="1"/>
  <c r="AU9" i="36" s="1"/>
  <c r="O6" i="73"/>
  <c r="P6" i="73"/>
  <c r="O7" i="73"/>
  <c r="P7" i="73"/>
  <c r="O8" i="73"/>
  <c r="P8" i="73"/>
  <c r="O9" i="73"/>
  <c r="P9" i="73"/>
  <c r="O10" i="73"/>
  <c r="P10" i="73"/>
  <c r="O11" i="73"/>
  <c r="P11" i="73"/>
  <c r="P5" i="73"/>
  <c r="O5" i="73"/>
  <c r="L47" i="36"/>
  <c r="L45" i="36"/>
  <c r="K11" i="73"/>
  <c r="M11" i="73" s="1"/>
  <c r="I11" i="73"/>
  <c r="J11" i="73" s="1"/>
  <c r="K10" i="73"/>
  <c r="L10" i="73" s="1"/>
  <c r="I10" i="73"/>
  <c r="J10" i="73" s="1"/>
  <c r="K9" i="73"/>
  <c r="L9" i="73" s="1"/>
  <c r="I9" i="73"/>
  <c r="J9" i="73" s="1"/>
  <c r="K8" i="73"/>
  <c r="M8" i="73" s="1"/>
  <c r="I8" i="73"/>
  <c r="J8" i="73" s="1"/>
  <c r="I7" i="73"/>
  <c r="J7" i="73" s="1"/>
  <c r="D7" i="73"/>
  <c r="K7" i="73" s="1"/>
  <c r="L7" i="73" s="1"/>
  <c r="K6" i="73"/>
  <c r="L6" i="73" s="1"/>
  <c r="I6" i="73"/>
  <c r="J6" i="73" s="1"/>
  <c r="K5" i="73"/>
  <c r="L5" i="73" s="1"/>
  <c r="I5" i="73"/>
  <c r="J5" i="73" s="1"/>
  <c r="L131" i="36" l="1"/>
  <c r="S131" i="36" s="1"/>
  <c r="Z131" i="36" s="1"/>
  <c r="AG131" i="36" s="1"/>
  <c r="AN131" i="36" s="1"/>
  <c r="AU131" i="36" s="1"/>
  <c r="BR164" i="36"/>
  <c r="BK164" i="36"/>
  <c r="BR165" i="36"/>
  <c r="BK165" i="36"/>
  <c r="BR166" i="36"/>
  <c r="BK166" i="36"/>
  <c r="BR167" i="36"/>
  <c r="BK167" i="36"/>
  <c r="BR168" i="36"/>
  <c r="J21" i="49" s="1"/>
  <c r="BK168" i="36"/>
  <c r="BR169" i="36"/>
  <c r="J12" i="49" s="1"/>
  <c r="BK169" i="36"/>
  <c r="BR151" i="36"/>
  <c r="BK151" i="36"/>
  <c r="BR152" i="36"/>
  <c r="BK152" i="36"/>
  <c r="BR153" i="36"/>
  <c r="BK153" i="36"/>
  <c r="BR154" i="36"/>
  <c r="J28" i="49" s="1"/>
  <c r="BK154" i="36"/>
  <c r="BR155" i="36"/>
  <c r="J23" i="49" s="1"/>
  <c r="BK155" i="36"/>
  <c r="BR158" i="36"/>
  <c r="BK158" i="36"/>
  <c r="BR159" i="36"/>
  <c r="J36" i="49" s="1"/>
  <c r="J84" i="49" s="1"/>
  <c r="BK159" i="36"/>
  <c r="BR160" i="36"/>
  <c r="BK160" i="36"/>
  <c r="BR161" i="36"/>
  <c r="J33" i="49" s="1"/>
  <c r="BK161" i="36"/>
  <c r="BR137" i="36"/>
  <c r="BK137" i="36"/>
  <c r="BR138" i="36"/>
  <c r="BK138" i="36"/>
  <c r="BR139" i="36"/>
  <c r="BK139" i="36"/>
  <c r="BR140" i="36"/>
  <c r="BK140" i="36"/>
  <c r="BR141" i="36"/>
  <c r="BK141" i="36"/>
  <c r="BR142" i="36"/>
  <c r="BK142" i="36"/>
  <c r="BR143" i="36"/>
  <c r="BK143" i="36"/>
  <c r="BR144" i="36"/>
  <c r="BK144" i="36"/>
  <c r="BR145" i="36"/>
  <c r="BK145" i="36"/>
  <c r="BR146" i="36"/>
  <c r="BK146" i="36"/>
  <c r="BR147" i="36"/>
  <c r="BK147" i="36"/>
  <c r="BR148" i="36"/>
  <c r="BK148" i="36"/>
  <c r="BR22" i="36"/>
  <c r="BK22" i="36"/>
  <c r="BR19" i="36"/>
  <c r="J42" i="49" s="1"/>
  <c r="BK19" i="36"/>
  <c r="BR16" i="36"/>
  <c r="BK16" i="36"/>
  <c r="N26" i="49"/>
  <c r="L26" i="49"/>
  <c r="J26" i="49"/>
  <c r="H42" i="49"/>
  <c r="H28" i="49"/>
  <c r="H23" i="49"/>
  <c r="H36" i="49"/>
  <c r="H84" i="49" s="1"/>
  <c r="H33" i="49"/>
  <c r="H26" i="49"/>
  <c r="H21" i="49"/>
  <c r="H12" i="49"/>
  <c r="BD19" i="36"/>
  <c r="F42" i="49" s="1"/>
  <c r="BD154" i="36"/>
  <c r="F28" i="49" s="1"/>
  <c r="BD155" i="36"/>
  <c r="F23" i="49" s="1"/>
  <c r="BD159" i="36"/>
  <c r="F36" i="49" s="1"/>
  <c r="BD161" i="36"/>
  <c r="F33" i="49" s="1"/>
  <c r="BD165" i="36"/>
  <c r="F26" i="49" s="1"/>
  <c r="BD168" i="36"/>
  <c r="F21" i="49" s="1"/>
  <c r="BD169" i="36"/>
  <c r="F12" i="49" s="1"/>
  <c r="D26" i="49"/>
  <c r="AB7" i="36"/>
  <c r="AP7" i="36"/>
  <c r="AZ66" i="36"/>
  <c r="AS66" i="36"/>
  <c r="Q66" i="36"/>
  <c r="S45" i="36"/>
  <c r="Z45" i="36" s="1"/>
  <c r="AG45" i="36" s="1"/>
  <c r="AN45" i="36" s="1"/>
  <c r="AU45" i="36" s="1"/>
  <c r="BB45" i="36" s="1"/>
  <c r="BI45" i="36" s="1"/>
  <c r="BP45" i="36" s="1"/>
  <c r="BW45" i="36" s="1"/>
  <c r="CD45" i="36" s="1"/>
  <c r="V45" i="36"/>
  <c r="O45" i="36"/>
  <c r="S47" i="36"/>
  <c r="Z47" i="36" s="1"/>
  <c r="AG47" i="36" s="1"/>
  <c r="AN47" i="36" s="1"/>
  <c r="AU47" i="36" s="1"/>
  <c r="BB47" i="36" s="1"/>
  <c r="BI47" i="36" s="1"/>
  <c r="BP47" i="36" s="1"/>
  <c r="BW47" i="36" s="1"/>
  <c r="CD47" i="36" s="1"/>
  <c r="V47" i="36"/>
  <c r="O47" i="36"/>
  <c r="O36" i="36"/>
  <c r="S36" i="36"/>
  <c r="O35" i="36"/>
  <c r="S35" i="36"/>
  <c r="O34" i="36"/>
  <c r="S34" i="36"/>
  <c r="O33" i="36"/>
  <c r="S33" i="36"/>
  <c r="O32" i="36"/>
  <c r="S32" i="36"/>
  <c r="O31" i="36"/>
  <c r="S31" i="36"/>
  <c r="O30" i="36"/>
  <c r="S30" i="36"/>
  <c r="O29" i="36"/>
  <c r="S29" i="36"/>
  <c r="O28" i="36"/>
  <c r="S28" i="36"/>
  <c r="O27" i="36"/>
  <c r="S27" i="36"/>
  <c r="O26" i="36"/>
  <c r="S26" i="36"/>
  <c r="AL9" i="36"/>
  <c r="AS9" i="36"/>
  <c r="L19" i="36"/>
  <c r="O19" i="36"/>
  <c r="O15" i="36" s="1"/>
  <c r="E15" i="36"/>
  <c r="H15" i="36"/>
  <c r="L22" i="36"/>
  <c r="E21" i="36"/>
  <c r="H22" i="36"/>
  <c r="H21" i="36" s="1"/>
  <c r="CI159" i="36"/>
  <c r="CG159" i="36"/>
  <c r="CI140" i="36"/>
  <c r="CG140" i="36"/>
  <c r="CB159" i="36"/>
  <c r="BZ159" i="36"/>
  <c r="CB140" i="36"/>
  <c r="BZ140" i="36"/>
  <c r="BU159" i="36"/>
  <c r="BS159" i="36"/>
  <c r="BU140" i="36"/>
  <c r="BS140" i="36"/>
  <c r="BN159" i="36"/>
  <c r="BL159" i="36"/>
  <c r="BN140" i="36"/>
  <c r="BL140" i="36"/>
  <c r="BG159" i="36"/>
  <c r="BE159" i="36"/>
  <c r="BG140" i="36"/>
  <c r="BE140" i="36"/>
  <c r="AZ159" i="36"/>
  <c r="AX159" i="36"/>
  <c r="AZ140" i="36"/>
  <c r="AX140" i="36"/>
  <c r="AS159" i="36"/>
  <c r="AQ159" i="36"/>
  <c r="AS140" i="36"/>
  <c r="AQ140" i="36"/>
  <c r="CG45" i="36"/>
  <c r="BZ45" i="36"/>
  <c r="BS45" i="36"/>
  <c r="BL45" i="36"/>
  <c r="BE45" i="36"/>
  <c r="AX45" i="36"/>
  <c r="AQ45" i="36"/>
  <c r="AJ45" i="36"/>
  <c r="AC45" i="36"/>
  <c r="CG47" i="36"/>
  <c r="BZ47" i="36"/>
  <c r="BS47" i="36"/>
  <c r="BL47" i="36"/>
  <c r="BE47" i="36"/>
  <c r="AX47" i="36"/>
  <c r="AQ47" i="36"/>
  <c r="AJ47" i="36"/>
  <c r="AC47" i="36"/>
  <c r="CG49" i="36"/>
  <c r="BZ49" i="36"/>
  <c r="BS49" i="36"/>
  <c r="BL49" i="36"/>
  <c r="BE49" i="36"/>
  <c r="AX49" i="36"/>
  <c r="AQ49" i="36"/>
  <c r="AJ49" i="36"/>
  <c r="AC49" i="36"/>
  <c r="V49" i="36"/>
  <c r="CG54" i="36"/>
  <c r="BZ54" i="36"/>
  <c r="BS54" i="36"/>
  <c r="BL54" i="36"/>
  <c r="BE54" i="36"/>
  <c r="AX54" i="36"/>
  <c r="AQ54" i="36"/>
  <c r="AJ54" i="36"/>
  <c r="AC54" i="36"/>
  <c r="V54" i="36"/>
  <c r="CG71" i="36"/>
  <c r="BZ71" i="36"/>
  <c r="BS71" i="36"/>
  <c r="BL71" i="36"/>
  <c r="BE71" i="36"/>
  <c r="AX71" i="36"/>
  <c r="AQ71" i="36"/>
  <c r="AJ71" i="36"/>
  <c r="AC71" i="36"/>
  <c r="V71" i="36"/>
  <c r="CG77" i="36"/>
  <c r="BZ77" i="36"/>
  <c r="BS77" i="36"/>
  <c r="BL77" i="36"/>
  <c r="BE77" i="36"/>
  <c r="AX77" i="36"/>
  <c r="AQ77" i="36"/>
  <c r="AJ77" i="36"/>
  <c r="AC77" i="36"/>
  <c r="V77" i="36"/>
  <c r="CG83" i="36"/>
  <c r="BZ83" i="36"/>
  <c r="BS83" i="36"/>
  <c r="BL83" i="36"/>
  <c r="BE83" i="36"/>
  <c r="AX83" i="36"/>
  <c r="AQ83" i="36"/>
  <c r="AJ83" i="36"/>
  <c r="AC83" i="36"/>
  <c r="V83" i="36"/>
  <c r="CG85" i="36"/>
  <c r="BZ85" i="36"/>
  <c r="BS85" i="36"/>
  <c r="BL85" i="36"/>
  <c r="BE85" i="36"/>
  <c r="AX85" i="36"/>
  <c r="AQ85" i="36"/>
  <c r="AJ85" i="36"/>
  <c r="AC85" i="36"/>
  <c r="V85" i="36"/>
  <c r="CG87" i="36"/>
  <c r="BZ87" i="36"/>
  <c r="BS87" i="36"/>
  <c r="BL87" i="36"/>
  <c r="BE87" i="36"/>
  <c r="AX87" i="36"/>
  <c r="AQ87" i="36"/>
  <c r="AJ87" i="36"/>
  <c r="AC87" i="36"/>
  <c r="V87" i="36"/>
  <c r="CG88" i="36"/>
  <c r="BZ88" i="36"/>
  <c r="BS88" i="36"/>
  <c r="BL88" i="36"/>
  <c r="BE88" i="36"/>
  <c r="AX88" i="36"/>
  <c r="AQ88" i="36"/>
  <c r="AJ88" i="36"/>
  <c r="AC88" i="36"/>
  <c r="V88" i="36"/>
  <c r="CG89" i="36"/>
  <c r="BZ89" i="36"/>
  <c r="BS89" i="36"/>
  <c r="BL89" i="36"/>
  <c r="BE89" i="36"/>
  <c r="AX89" i="36"/>
  <c r="AQ89" i="36"/>
  <c r="AJ89" i="36"/>
  <c r="AC89" i="36"/>
  <c r="V89" i="36"/>
  <c r="CG90" i="36"/>
  <c r="BZ90" i="36"/>
  <c r="BS90" i="36"/>
  <c r="BL90" i="36"/>
  <c r="BE90" i="36"/>
  <c r="AX90" i="36"/>
  <c r="AQ90" i="36"/>
  <c r="AJ90" i="36"/>
  <c r="AC90" i="36"/>
  <c r="V90" i="36"/>
  <c r="CG97" i="36"/>
  <c r="BZ97" i="36"/>
  <c r="BS97" i="36"/>
  <c r="BL97" i="36"/>
  <c r="BE97" i="36"/>
  <c r="AX97" i="36"/>
  <c r="AQ97" i="36"/>
  <c r="AJ97" i="36"/>
  <c r="AC97" i="36"/>
  <c r="V97" i="36"/>
  <c r="CG107" i="36"/>
  <c r="BZ107" i="36"/>
  <c r="BS107" i="36"/>
  <c r="BL107" i="36"/>
  <c r="BE107" i="36"/>
  <c r="AX107" i="36"/>
  <c r="AQ107" i="36"/>
  <c r="AJ107" i="36"/>
  <c r="AC107" i="36"/>
  <c r="V107" i="36"/>
  <c r="CG108" i="36"/>
  <c r="BZ108" i="36"/>
  <c r="BS108" i="36"/>
  <c r="BL108" i="36"/>
  <c r="BE108" i="36"/>
  <c r="AX108" i="36"/>
  <c r="AQ108" i="36"/>
  <c r="AJ108" i="36"/>
  <c r="AC108" i="36"/>
  <c r="V108" i="36"/>
  <c r="CG109" i="36"/>
  <c r="BZ109" i="36"/>
  <c r="BS109" i="36"/>
  <c r="BL109" i="36"/>
  <c r="BE109" i="36"/>
  <c r="AX109" i="36"/>
  <c r="AQ109" i="36"/>
  <c r="AJ109" i="36"/>
  <c r="AC109" i="36"/>
  <c r="V109" i="36"/>
  <c r="CG121" i="36"/>
  <c r="BZ121" i="36"/>
  <c r="BS121" i="36"/>
  <c r="BL121" i="36"/>
  <c r="BE121" i="36"/>
  <c r="AX121" i="36"/>
  <c r="AQ121" i="36"/>
  <c r="AJ121" i="36"/>
  <c r="AC121" i="36"/>
  <c r="V121" i="36"/>
  <c r="CG48" i="36"/>
  <c r="BZ48" i="36"/>
  <c r="BS48" i="36"/>
  <c r="BL48" i="36"/>
  <c r="BE48" i="36"/>
  <c r="AX48" i="36"/>
  <c r="AQ48" i="36"/>
  <c r="AJ48" i="36"/>
  <c r="AC48" i="36"/>
  <c r="V48" i="36"/>
  <c r="CG46" i="36"/>
  <c r="BZ46" i="36"/>
  <c r="BS46" i="36"/>
  <c r="BL46" i="36"/>
  <c r="BE46" i="36"/>
  <c r="AX46" i="36"/>
  <c r="AQ46" i="36"/>
  <c r="AJ46" i="36"/>
  <c r="AC46" i="36"/>
  <c r="V46" i="36"/>
  <c r="CG44" i="36"/>
  <c r="BZ44" i="36"/>
  <c r="BS44" i="36"/>
  <c r="BL44" i="36"/>
  <c r="BE44" i="36"/>
  <c r="AX44" i="36"/>
  <c r="AQ44" i="36"/>
  <c r="AJ44" i="36"/>
  <c r="AC44" i="36"/>
  <c r="V44" i="36"/>
  <c r="CG43" i="36"/>
  <c r="BZ43" i="36"/>
  <c r="BS43" i="36"/>
  <c r="BL43" i="36"/>
  <c r="BE43" i="36"/>
  <c r="AX43" i="36"/>
  <c r="AQ43" i="36"/>
  <c r="AJ43" i="36"/>
  <c r="AC43" i="36"/>
  <c r="V43" i="36"/>
  <c r="O131" i="36"/>
  <c r="N131" i="36"/>
  <c r="Q131" i="36" s="1"/>
  <c r="P21" i="36"/>
  <c r="P15" i="36"/>
  <c r="AW22" i="36"/>
  <c r="AR21" i="36"/>
  <c r="AP22" i="36"/>
  <c r="AP21" i="36" s="1"/>
  <c r="AK21" i="36"/>
  <c r="AI22" i="36"/>
  <c r="AI21" i="36" s="1"/>
  <c r="AD21" i="36"/>
  <c r="AB22" i="36"/>
  <c r="AB21" i="36" s="1"/>
  <c r="W21" i="36"/>
  <c r="AP16" i="36"/>
  <c r="AK15" i="36"/>
  <c r="AI16" i="36"/>
  <c r="AD15" i="36"/>
  <c r="AB16" i="36"/>
  <c r="W15" i="36"/>
  <c r="AW16" i="36"/>
  <c r="AR15" i="36"/>
  <c r="U25" i="36"/>
  <c r="U131" i="36"/>
  <c r="X131" i="36"/>
  <c r="AB131" i="36"/>
  <c r="AI131" i="36"/>
  <c r="AP131" i="36"/>
  <c r="AW131" i="36"/>
  <c r="D20" i="49" s="1"/>
  <c r="BD131" i="36"/>
  <c r="F20" i="49" s="1"/>
  <c r="H20" i="49"/>
  <c r="BR131" i="36"/>
  <c r="J20" i="49" s="1"/>
  <c r="BY131" i="36"/>
  <c r="L20" i="49" s="1"/>
  <c r="CF131" i="36"/>
  <c r="N20" i="49" s="1"/>
  <c r="CF36" i="36"/>
  <c r="CF35" i="36"/>
  <c r="CF34" i="36"/>
  <c r="CF33" i="36"/>
  <c r="CF32" i="36"/>
  <c r="CF31" i="36"/>
  <c r="CF30" i="36"/>
  <c r="CF29" i="36"/>
  <c r="CF28" i="36"/>
  <c r="CF27" i="36"/>
  <c r="CF26" i="36"/>
  <c r="AP36" i="36"/>
  <c r="AP35" i="36"/>
  <c r="AP34" i="36"/>
  <c r="AP33" i="36"/>
  <c r="AP32" i="36"/>
  <c r="AP31" i="36"/>
  <c r="AP30" i="36"/>
  <c r="AP29" i="36"/>
  <c r="AP28" i="36"/>
  <c r="AP27" i="36"/>
  <c r="AP26" i="36"/>
  <c r="AI36" i="36"/>
  <c r="AI35" i="36"/>
  <c r="AI34" i="36"/>
  <c r="AI33" i="36"/>
  <c r="AI32" i="36"/>
  <c r="AI31" i="36"/>
  <c r="AI30" i="36"/>
  <c r="AI29" i="36"/>
  <c r="AI28" i="36"/>
  <c r="AI27" i="36"/>
  <c r="AI26" i="36"/>
  <c r="AB36" i="36"/>
  <c r="AB35" i="36"/>
  <c r="AB34" i="36"/>
  <c r="AB33" i="36"/>
  <c r="AB32" i="36"/>
  <c r="AB31" i="36"/>
  <c r="AB30" i="36"/>
  <c r="AB29" i="36"/>
  <c r="AB28" i="36"/>
  <c r="AB27" i="36"/>
  <c r="U36" i="36"/>
  <c r="X36" i="36" s="1"/>
  <c r="U35" i="36"/>
  <c r="X35" i="36" s="1"/>
  <c r="U34" i="36"/>
  <c r="X34" i="36" s="1"/>
  <c r="U33" i="36"/>
  <c r="X33" i="36" s="1"/>
  <c r="U32" i="36"/>
  <c r="X32" i="36" s="1"/>
  <c r="U31" i="36"/>
  <c r="X31" i="36" s="1"/>
  <c r="U30" i="36"/>
  <c r="X30" i="36" s="1"/>
  <c r="U29" i="36"/>
  <c r="X29" i="36" s="1"/>
  <c r="U28" i="36"/>
  <c r="X28" i="36" s="1"/>
  <c r="U27" i="36"/>
  <c r="X27" i="36" s="1"/>
  <c r="U26" i="36"/>
  <c r="X26" i="36" s="1"/>
  <c r="N36" i="36"/>
  <c r="Q36" i="36" s="1"/>
  <c r="N35" i="36"/>
  <c r="Q35" i="36" s="1"/>
  <c r="N34" i="36"/>
  <c r="Q34" i="36" s="1"/>
  <c r="N33" i="36"/>
  <c r="Q33" i="36" s="1"/>
  <c r="N32" i="36"/>
  <c r="Q32" i="36" s="1"/>
  <c r="N31" i="36"/>
  <c r="Q31" i="36" s="1"/>
  <c r="N30" i="36"/>
  <c r="Q30" i="36" s="1"/>
  <c r="N29" i="36"/>
  <c r="Q29" i="36" s="1"/>
  <c r="N28" i="36"/>
  <c r="Q28" i="36" s="1"/>
  <c r="N27" i="36"/>
  <c r="Q27" i="36" s="1"/>
  <c r="N26" i="36"/>
  <c r="Q26" i="36" s="1"/>
  <c r="AB26" i="36"/>
  <c r="E53" i="36"/>
  <c r="L53" i="36" s="1"/>
  <c r="S53" i="36" s="1"/>
  <c r="Z53" i="36" s="1"/>
  <c r="AG53" i="36" s="1"/>
  <c r="AN53" i="36" s="1"/>
  <c r="AU53" i="36" s="1"/>
  <c r="BB53" i="36" s="1"/>
  <c r="H53" i="36"/>
  <c r="I53" i="36"/>
  <c r="N53" i="36" s="1"/>
  <c r="Q53" i="36"/>
  <c r="CF53" i="36"/>
  <c r="CF12" i="36"/>
  <c r="BY12" i="36"/>
  <c r="BR12" i="36"/>
  <c r="AW12" i="36"/>
  <c r="N12" i="36"/>
  <c r="G12" i="36"/>
  <c r="CH11" i="36"/>
  <c r="CA11" i="36"/>
  <c r="BW11" i="36"/>
  <c r="BT11" i="36"/>
  <c r="BY11" i="36" s="1"/>
  <c r="BM11" i="36"/>
  <c r="BI11" i="36"/>
  <c r="BF11" i="36"/>
  <c r="BB11" i="36"/>
  <c r="AY11" i="36"/>
  <c r="AU11" i="36"/>
  <c r="I11" i="36"/>
  <c r="N11" i="36" s="1"/>
  <c r="G11" i="36"/>
  <c r="CH10" i="36"/>
  <c r="CA10" i="36"/>
  <c r="BW10" i="36"/>
  <c r="BT10" i="36"/>
  <c r="BY10" i="36" s="1"/>
  <c r="BM10" i="36"/>
  <c r="BF10" i="36"/>
  <c r="AY10" i="36"/>
  <c r="S10" i="36"/>
  <c r="X10" i="36" s="1"/>
  <c r="I10" i="36"/>
  <c r="N10" i="36" s="1"/>
  <c r="G10" i="36"/>
  <c r="CH9" i="36"/>
  <c r="CA9" i="36"/>
  <c r="BT9" i="36"/>
  <c r="BY9" i="36" s="1"/>
  <c r="BM9" i="36"/>
  <c r="BF9" i="36"/>
  <c r="AY9" i="36"/>
  <c r="I9" i="36"/>
  <c r="N9" i="36" s="1"/>
  <c r="G9" i="36"/>
  <c r="CH8" i="36"/>
  <c r="CA8" i="36"/>
  <c r="BT8" i="36"/>
  <c r="BY8" i="36" s="1"/>
  <c r="BM8" i="36"/>
  <c r="BF8" i="36"/>
  <c r="AY8" i="36"/>
  <c r="AW8" i="36" s="1"/>
  <c r="AH8" i="36"/>
  <c r="AO8" i="36" s="1"/>
  <c r="AV8" i="36" s="1"/>
  <c r="BC8" i="36" s="1"/>
  <c r="BJ8" i="36" s="1"/>
  <c r="BQ8" i="36" s="1"/>
  <c r="BX8" i="36" s="1"/>
  <c r="CE8" i="36" s="1"/>
  <c r="I8" i="36"/>
  <c r="N8" i="36" s="1"/>
  <c r="G8" i="36"/>
  <c r="E8" i="36"/>
  <c r="H8" i="36" s="1"/>
  <c r="CH7" i="36"/>
  <c r="CA7" i="36"/>
  <c r="BT7" i="36"/>
  <c r="BY7" i="36" s="1"/>
  <c r="BM7" i="36"/>
  <c r="BK7" i="36" s="1"/>
  <c r="BF7" i="36"/>
  <c r="AY7" i="36"/>
  <c r="AW7" i="36" s="1"/>
  <c r="AH7" i="36"/>
  <c r="AO7" i="36" s="1"/>
  <c r="AV7" i="36" s="1"/>
  <c r="BC7" i="36" s="1"/>
  <c r="BJ7" i="36" s="1"/>
  <c r="BQ7" i="36" s="1"/>
  <c r="BX7" i="36" s="1"/>
  <c r="CE7" i="36" s="1"/>
  <c r="U7" i="36"/>
  <c r="I7" i="36"/>
  <c r="G7" i="36"/>
  <c r="E7" i="36"/>
  <c r="CH6" i="36"/>
  <c r="CA6" i="36"/>
  <c r="BT6" i="36"/>
  <c r="BM6" i="36"/>
  <c r="BF6" i="36"/>
  <c r="AY6" i="36"/>
  <c r="AR6" i="36"/>
  <c r="AP6" i="36"/>
  <c r="AK6" i="36"/>
  <c r="AI6" i="36"/>
  <c r="AD6" i="36"/>
  <c r="AB6" i="36"/>
  <c r="W6" i="36"/>
  <c r="P6" i="36"/>
  <c r="I6" i="36"/>
  <c r="G6" i="36"/>
  <c r="O36" i="49" l="1"/>
  <c r="O84" i="49" s="1"/>
  <c r="F84" i="49"/>
  <c r="BB131" i="36"/>
  <c r="E20" i="49" s="1"/>
  <c r="C20" i="49"/>
  <c r="BR6" i="36"/>
  <c r="J6" i="49" s="1"/>
  <c r="BK6" i="36"/>
  <c r="BR10" i="36"/>
  <c r="BU10" i="36" s="1"/>
  <c r="BK10" i="36"/>
  <c r="BR11" i="36"/>
  <c r="BU11" i="36" s="1"/>
  <c r="BK11" i="36"/>
  <c r="BR8" i="36"/>
  <c r="BK8" i="36"/>
  <c r="BR9" i="36"/>
  <c r="BK9" i="36"/>
  <c r="BR7" i="36"/>
  <c r="H6" i="49"/>
  <c r="BD6" i="36"/>
  <c r="F6" i="49" s="1"/>
  <c r="CF7" i="36"/>
  <c r="CF8" i="36"/>
  <c r="CF9" i="36"/>
  <c r="CF10" i="36"/>
  <c r="CF11" i="36"/>
  <c r="CF6" i="36"/>
  <c r="N6" i="49" s="1"/>
  <c r="BY6" i="36"/>
  <c r="L6" i="49" s="1"/>
  <c r="U6" i="36"/>
  <c r="N7" i="36"/>
  <c r="BD9" i="36"/>
  <c r="AW9" i="36"/>
  <c r="BD10" i="36"/>
  <c r="AW10" i="36"/>
  <c r="BD11" i="36"/>
  <c r="AW11" i="36"/>
  <c r="BD12" i="36"/>
  <c r="BD8" i="36"/>
  <c r="BD7" i="36"/>
  <c r="L21" i="36"/>
  <c r="S22" i="36"/>
  <c r="O22" i="36"/>
  <c r="O21" i="36" s="1"/>
  <c r="L15" i="36"/>
  <c r="S19" i="36"/>
  <c r="Z26" i="36"/>
  <c r="AC26" i="36"/>
  <c r="V26" i="36"/>
  <c r="Z27" i="36"/>
  <c r="AC27" i="36"/>
  <c r="V27" i="36"/>
  <c r="Z28" i="36"/>
  <c r="AC28" i="36"/>
  <c r="V28" i="36"/>
  <c r="Z29" i="36"/>
  <c r="AC29" i="36"/>
  <c r="V29" i="36"/>
  <c r="Z30" i="36"/>
  <c r="AC30" i="36"/>
  <c r="V30" i="36"/>
  <c r="Z31" i="36"/>
  <c r="AC31" i="36"/>
  <c r="V31" i="36"/>
  <c r="Z32" i="36"/>
  <c r="AC32" i="36"/>
  <c r="V32" i="36"/>
  <c r="Z33" i="36"/>
  <c r="AC33" i="36"/>
  <c r="V33" i="36"/>
  <c r="Z34" i="36"/>
  <c r="AC34" i="36"/>
  <c r="V34" i="36"/>
  <c r="Z35" i="36"/>
  <c r="AC35" i="36"/>
  <c r="V35" i="36"/>
  <c r="Z36" i="36"/>
  <c r="AC36" i="36"/>
  <c r="V36" i="36"/>
  <c r="V131" i="36"/>
  <c r="O53" i="36"/>
  <c r="L8" i="36"/>
  <c r="O8" i="36" s="1"/>
  <c r="L7" i="36"/>
  <c r="Q8" i="36"/>
  <c r="S7" i="36"/>
  <c r="Q7" i="36"/>
  <c r="N6" i="36"/>
  <c r="G53" i="36"/>
  <c r="J53" i="36" s="1"/>
  <c r="U53" i="36"/>
  <c r="X53" i="36"/>
  <c r="AB53" i="36"/>
  <c r="AI53" i="36"/>
  <c r="AP53" i="36"/>
  <c r="AW53" i="36"/>
  <c r="BD53" i="36"/>
  <c r="BR53" i="36"/>
  <c r="BY53" i="36"/>
  <c r="J7" i="36"/>
  <c r="H7" i="36"/>
  <c r="J8" i="36"/>
  <c r="S8" i="36"/>
  <c r="AN10" i="36"/>
  <c r="AS10" i="36" s="1"/>
  <c r="CB10" i="36"/>
  <c r="BG11" i="36"/>
  <c r="BN11" i="36"/>
  <c r="CD11" i="36"/>
  <c r="CB11" i="36"/>
  <c r="N89" i="49" l="1"/>
  <c r="N88" i="49"/>
  <c r="L89" i="49"/>
  <c r="L88" i="49"/>
  <c r="J89" i="49"/>
  <c r="J88" i="49"/>
  <c r="H89" i="49"/>
  <c r="H88" i="49"/>
  <c r="F89" i="49"/>
  <c r="F88" i="49"/>
  <c r="AG36" i="36"/>
  <c r="AE36" i="36"/>
  <c r="AG35" i="36"/>
  <c r="AE35" i="36"/>
  <c r="AG34" i="36"/>
  <c r="AE34" i="36"/>
  <c r="AG33" i="36"/>
  <c r="AE33" i="36"/>
  <c r="AG32" i="36"/>
  <c r="AE32" i="36"/>
  <c r="AG31" i="36"/>
  <c r="AE31" i="36"/>
  <c r="AG30" i="36"/>
  <c r="AE30" i="36"/>
  <c r="AG29" i="36"/>
  <c r="AE29" i="36"/>
  <c r="AG28" i="36"/>
  <c r="AE28" i="36"/>
  <c r="AG27" i="36"/>
  <c r="AE27" i="36"/>
  <c r="AG26" i="36"/>
  <c r="AE26" i="36"/>
  <c r="S15" i="36"/>
  <c r="Z19" i="36"/>
  <c r="V19" i="36"/>
  <c r="V15" i="36" s="1"/>
  <c r="S21" i="36"/>
  <c r="Z22" i="36"/>
  <c r="V22" i="36"/>
  <c r="V21" i="36" s="1"/>
  <c r="AC131" i="36"/>
  <c r="V53" i="36"/>
  <c r="AE131" i="36"/>
  <c r="V8" i="36"/>
  <c r="V7" i="36"/>
  <c r="O7" i="36"/>
  <c r="Z8" i="36"/>
  <c r="AC8" i="36" s="1"/>
  <c r="X8" i="36"/>
  <c r="X7" i="36"/>
  <c r="CI11" i="36"/>
  <c r="BI10" i="36"/>
  <c r="Z7" i="36"/>
  <c r="AE22" i="36" l="1"/>
  <c r="AE21" i="36" s="1"/>
  <c r="Z21" i="36"/>
  <c r="AG22" i="36"/>
  <c r="AJ22" i="36"/>
  <c r="AJ21" i="36" s="1"/>
  <c r="AC22" i="36"/>
  <c r="AC21" i="36" s="1"/>
  <c r="AE19" i="36"/>
  <c r="Z15" i="36"/>
  <c r="AG19" i="36"/>
  <c r="AJ19" i="36"/>
  <c r="AJ15" i="36" s="1"/>
  <c r="AC19" i="36"/>
  <c r="AC15" i="36" s="1"/>
  <c r="AN26" i="36"/>
  <c r="AL26" i="36"/>
  <c r="AQ26" i="36"/>
  <c r="AJ26" i="36"/>
  <c r="AN27" i="36"/>
  <c r="AL27" i="36"/>
  <c r="AQ27" i="36"/>
  <c r="AJ27" i="36"/>
  <c r="AN28" i="36"/>
  <c r="AL28" i="36"/>
  <c r="AQ28" i="36"/>
  <c r="AJ28" i="36"/>
  <c r="AN29" i="36"/>
  <c r="AL29" i="36"/>
  <c r="AQ29" i="36"/>
  <c r="AJ29" i="36"/>
  <c r="AN30" i="36"/>
  <c r="AL30" i="36"/>
  <c r="AQ30" i="36"/>
  <c r="AJ30" i="36"/>
  <c r="AN31" i="36"/>
  <c r="AL31" i="36"/>
  <c r="AQ31" i="36"/>
  <c r="AJ31" i="36"/>
  <c r="AN32" i="36"/>
  <c r="AL32" i="36"/>
  <c r="AQ32" i="36"/>
  <c r="AJ32" i="36"/>
  <c r="AN33" i="36"/>
  <c r="AL33" i="36"/>
  <c r="AQ33" i="36"/>
  <c r="AJ33" i="36"/>
  <c r="AN34" i="36"/>
  <c r="AL34" i="36"/>
  <c r="AQ34" i="36"/>
  <c r="AJ34" i="36"/>
  <c r="AN35" i="36"/>
  <c r="AL35" i="36"/>
  <c r="AQ35" i="36"/>
  <c r="AJ35" i="36"/>
  <c r="AN36" i="36"/>
  <c r="AL36" i="36"/>
  <c r="AQ36" i="36"/>
  <c r="AJ36" i="36"/>
  <c r="AJ131" i="36"/>
  <c r="AC53" i="36"/>
  <c r="AL131" i="36"/>
  <c r="AE53" i="36"/>
  <c r="AC7" i="36"/>
  <c r="AG7" i="36"/>
  <c r="AE7" i="36"/>
  <c r="AG8" i="36"/>
  <c r="AJ8" i="36" s="1"/>
  <c r="AE8" i="36"/>
  <c r="CD10" i="36"/>
  <c r="BN10" i="36"/>
  <c r="AU36" i="36" l="1"/>
  <c r="AS36" i="36"/>
  <c r="AU35" i="36"/>
  <c r="AS35" i="36"/>
  <c r="AU34" i="36"/>
  <c r="AS34" i="36"/>
  <c r="AU33" i="36"/>
  <c r="AS33" i="36"/>
  <c r="AU32" i="36"/>
  <c r="AS32" i="36"/>
  <c r="AU31" i="36"/>
  <c r="AS31" i="36"/>
  <c r="AU30" i="36"/>
  <c r="AS30" i="36"/>
  <c r="AU29" i="36"/>
  <c r="AS29" i="36"/>
  <c r="AU28" i="36"/>
  <c r="AS28" i="36"/>
  <c r="AU27" i="36"/>
  <c r="AS27" i="36"/>
  <c r="AU26" i="36"/>
  <c r="AS26" i="36"/>
  <c r="AG15" i="36"/>
  <c r="AN19" i="36"/>
  <c r="AL19" i="36"/>
  <c r="AG21" i="36"/>
  <c r="AN22" i="36"/>
  <c r="AL22" i="36"/>
  <c r="AL21" i="36" s="1"/>
  <c r="AQ131" i="36"/>
  <c r="AJ53" i="36"/>
  <c r="AL53" i="36"/>
  <c r="AS131" i="36"/>
  <c r="AJ7" i="36"/>
  <c r="AN8" i="36"/>
  <c r="AQ8" i="36" s="1"/>
  <c r="AL8" i="36"/>
  <c r="AN7" i="36"/>
  <c r="AL7" i="36"/>
  <c r="CI10" i="36"/>
  <c r="AN21" i="36" l="1"/>
  <c r="AU22" i="36"/>
  <c r="AS22" i="36"/>
  <c r="AS21" i="36" s="1"/>
  <c r="AX22" i="36"/>
  <c r="AQ22" i="36"/>
  <c r="AQ21" i="36" s="1"/>
  <c r="AN15" i="36"/>
  <c r="AU19" i="36"/>
  <c r="C42" i="49" s="1"/>
  <c r="AS19" i="36"/>
  <c r="AX19" i="36"/>
  <c r="AQ19" i="36"/>
  <c r="AQ15" i="36" s="1"/>
  <c r="AZ26" i="36"/>
  <c r="BB26" i="36"/>
  <c r="BE26" i="36"/>
  <c r="AX26" i="36"/>
  <c r="AZ27" i="36"/>
  <c r="BB27" i="36"/>
  <c r="BE27" i="36"/>
  <c r="AX27" i="36"/>
  <c r="AZ28" i="36"/>
  <c r="BB28" i="36"/>
  <c r="BE28" i="36"/>
  <c r="AX28" i="36"/>
  <c r="AZ29" i="36"/>
  <c r="BB29" i="36"/>
  <c r="BE29" i="36"/>
  <c r="AX29" i="36"/>
  <c r="AZ30" i="36"/>
  <c r="BB30" i="36"/>
  <c r="BE30" i="36"/>
  <c r="AX30" i="36"/>
  <c r="AZ31" i="36"/>
  <c r="BB31" i="36"/>
  <c r="BE31" i="36"/>
  <c r="AX31" i="36"/>
  <c r="AZ32" i="36"/>
  <c r="BB32" i="36"/>
  <c r="BE32" i="36"/>
  <c r="AX32" i="36"/>
  <c r="AZ33" i="36"/>
  <c r="BB33" i="36"/>
  <c r="BE33" i="36"/>
  <c r="AX33" i="36"/>
  <c r="AZ34" i="36"/>
  <c r="BB34" i="36"/>
  <c r="BE34" i="36"/>
  <c r="AX34" i="36"/>
  <c r="AZ35" i="36"/>
  <c r="BB35" i="36"/>
  <c r="BE35" i="36"/>
  <c r="AX35" i="36"/>
  <c r="AZ36" i="36"/>
  <c r="BB36" i="36"/>
  <c r="BE36" i="36"/>
  <c r="AX36" i="36"/>
  <c r="AX131" i="36"/>
  <c r="AQ53" i="36"/>
  <c r="AZ131" i="36"/>
  <c r="AS53" i="36"/>
  <c r="AQ7" i="36"/>
  <c r="AU7" i="36"/>
  <c r="AS7" i="36"/>
  <c r="AU8" i="36"/>
  <c r="AX8" i="36" s="1"/>
  <c r="AS8" i="36"/>
  <c r="BB8" i="36"/>
  <c r="AZ8" i="36"/>
  <c r="BB7" i="36"/>
  <c r="AZ7" i="36"/>
  <c r="BG36" i="36" l="1"/>
  <c r="BI36" i="36"/>
  <c r="BG35" i="36"/>
  <c r="BI35" i="36"/>
  <c r="BG34" i="36"/>
  <c r="BI34" i="36"/>
  <c r="BG33" i="36"/>
  <c r="BI33" i="36"/>
  <c r="BG32" i="36"/>
  <c r="BI32" i="36"/>
  <c r="BG31" i="36"/>
  <c r="BI31" i="36"/>
  <c r="BG30" i="36"/>
  <c r="BI30" i="36"/>
  <c r="BG29" i="36"/>
  <c r="BI29" i="36"/>
  <c r="BG28" i="36"/>
  <c r="BI28" i="36"/>
  <c r="BG27" i="36"/>
  <c r="BI27" i="36"/>
  <c r="BG26" i="36"/>
  <c r="BI26" i="36"/>
  <c r="BB19" i="36"/>
  <c r="E42" i="49" s="1"/>
  <c r="AZ19" i="36"/>
  <c r="BB22" i="36"/>
  <c r="AZ22" i="36"/>
  <c r="BE131" i="36"/>
  <c r="AX53" i="36"/>
  <c r="AZ53" i="36"/>
  <c r="BI131" i="36"/>
  <c r="BG131" i="36"/>
  <c r="BE8" i="36"/>
  <c r="BE7" i="36"/>
  <c r="AX7" i="36"/>
  <c r="BI7" i="36"/>
  <c r="BG7" i="36"/>
  <c r="BI8" i="36"/>
  <c r="BL8" i="36" s="1"/>
  <c r="BG8" i="36"/>
  <c r="BL131" i="36" l="1"/>
  <c r="G20" i="49"/>
  <c r="BI22" i="36"/>
  <c r="BG22" i="36"/>
  <c r="BL22" i="36"/>
  <c r="BE22" i="36"/>
  <c r="BI19" i="36"/>
  <c r="BG19" i="36"/>
  <c r="BL19" i="36"/>
  <c r="BE19" i="36"/>
  <c r="BN26" i="36"/>
  <c r="BP26" i="36"/>
  <c r="BS26" i="36"/>
  <c r="BL26" i="36"/>
  <c r="BN27" i="36"/>
  <c r="BP27" i="36"/>
  <c r="BS27" i="36"/>
  <c r="BL27" i="36"/>
  <c r="BN28" i="36"/>
  <c r="BP28" i="36"/>
  <c r="BS28" i="36"/>
  <c r="BL28" i="36"/>
  <c r="BN29" i="36"/>
  <c r="BP29" i="36"/>
  <c r="BS29" i="36"/>
  <c r="BL29" i="36"/>
  <c r="BN30" i="36"/>
  <c r="BP30" i="36"/>
  <c r="BS30" i="36"/>
  <c r="BL30" i="36"/>
  <c r="BN31" i="36"/>
  <c r="BP31" i="36"/>
  <c r="BS31" i="36"/>
  <c r="BL31" i="36"/>
  <c r="BN32" i="36"/>
  <c r="BP32" i="36"/>
  <c r="BS32" i="36"/>
  <c r="BL32" i="36"/>
  <c r="BN33" i="36"/>
  <c r="BP33" i="36"/>
  <c r="BS33" i="36"/>
  <c r="BL33" i="36"/>
  <c r="BN34" i="36"/>
  <c r="BP34" i="36"/>
  <c r="BS34" i="36"/>
  <c r="BL34" i="36"/>
  <c r="BN35" i="36"/>
  <c r="BP35" i="36"/>
  <c r="BS35" i="36"/>
  <c r="BL35" i="36"/>
  <c r="BN36" i="36"/>
  <c r="BP36" i="36"/>
  <c r="BS36" i="36"/>
  <c r="BL36" i="36"/>
  <c r="BE53" i="36"/>
  <c r="BP131" i="36"/>
  <c r="I20" i="49" s="1"/>
  <c r="BN131" i="36"/>
  <c r="BI53" i="36"/>
  <c r="BG53" i="36"/>
  <c r="BL7" i="36"/>
  <c r="BP8" i="36"/>
  <c r="BS8" i="36" s="1"/>
  <c r="BN8" i="36"/>
  <c r="BP7" i="36"/>
  <c r="BN7" i="36"/>
  <c r="G42" i="49" l="1"/>
  <c r="BU36" i="36"/>
  <c r="BW36" i="36"/>
  <c r="BU35" i="36"/>
  <c r="BW35" i="36"/>
  <c r="BU34" i="36"/>
  <c r="BW34" i="36"/>
  <c r="BU33" i="36"/>
  <c r="BW33" i="36"/>
  <c r="BU32" i="36"/>
  <c r="BW32" i="36"/>
  <c r="BU31" i="36"/>
  <c r="BW31" i="36"/>
  <c r="BU30" i="36"/>
  <c r="BW30" i="36"/>
  <c r="BU29" i="36"/>
  <c r="BW29" i="36"/>
  <c r="BU28" i="36"/>
  <c r="BW28" i="36"/>
  <c r="BU27" i="36"/>
  <c r="BW27" i="36"/>
  <c r="BU26" i="36"/>
  <c r="BW26" i="36"/>
  <c r="BP19" i="36"/>
  <c r="I42" i="49" s="1"/>
  <c r="BN19" i="36"/>
  <c r="BP22" i="36"/>
  <c r="BN22" i="36"/>
  <c r="BS131" i="36"/>
  <c r="BL53" i="36"/>
  <c r="BP53" i="36"/>
  <c r="BN53" i="36"/>
  <c r="BW131" i="36"/>
  <c r="K20" i="49" s="1"/>
  <c r="BU131" i="36"/>
  <c r="BW8" i="36"/>
  <c r="BZ8" i="36" s="1"/>
  <c r="BS7" i="36"/>
  <c r="BW7" i="36"/>
  <c r="BU7" i="36"/>
  <c r="BU8" i="36"/>
  <c r="BW22" i="36" l="1"/>
  <c r="BU22" i="36"/>
  <c r="BZ22" i="36"/>
  <c r="BS22" i="36"/>
  <c r="BW19" i="36"/>
  <c r="K42" i="49" s="1"/>
  <c r="BU19" i="36"/>
  <c r="BZ19" i="36"/>
  <c r="BS19" i="36"/>
  <c r="CD26" i="36"/>
  <c r="CI26" i="36" s="1"/>
  <c r="CB26" i="36"/>
  <c r="CG26" i="36"/>
  <c r="BZ26" i="36"/>
  <c r="CD27" i="36"/>
  <c r="CI27" i="36" s="1"/>
  <c r="CB27" i="36"/>
  <c r="CG27" i="36"/>
  <c r="BZ27" i="36"/>
  <c r="CD28" i="36"/>
  <c r="CI28" i="36" s="1"/>
  <c r="CB28" i="36"/>
  <c r="CG28" i="36"/>
  <c r="BZ28" i="36"/>
  <c r="CD29" i="36"/>
  <c r="CI29" i="36" s="1"/>
  <c r="CB29" i="36"/>
  <c r="CG29" i="36"/>
  <c r="BZ29" i="36"/>
  <c r="CD30" i="36"/>
  <c r="CI30" i="36" s="1"/>
  <c r="CB30" i="36"/>
  <c r="CG30" i="36"/>
  <c r="BZ30" i="36"/>
  <c r="CD31" i="36"/>
  <c r="CI31" i="36" s="1"/>
  <c r="CB31" i="36"/>
  <c r="CG31" i="36"/>
  <c r="BZ31" i="36"/>
  <c r="CD32" i="36"/>
  <c r="CI32" i="36" s="1"/>
  <c r="CB32" i="36"/>
  <c r="CG32" i="36"/>
  <c r="BZ32" i="36"/>
  <c r="CD33" i="36"/>
  <c r="CI33" i="36" s="1"/>
  <c r="CB33" i="36"/>
  <c r="CG33" i="36"/>
  <c r="BZ33" i="36"/>
  <c r="CD34" i="36"/>
  <c r="CI34" i="36" s="1"/>
  <c r="CB34" i="36"/>
  <c r="CG34" i="36"/>
  <c r="BZ34" i="36"/>
  <c r="CD35" i="36"/>
  <c r="CI35" i="36" s="1"/>
  <c r="CB35" i="36"/>
  <c r="CG35" i="36"/>
  <c r="BZ35" i="36"/>
  <c r="CD36" i="36"/>
  <c r="CI36" i="36" s="1"/>
  <c r="CB36" i="36"/>
  <c r="CG36" i="36"/>
  <c r="BZ36" i="36"/>
  <c r="BZ131" i="36"/>
  <c r="BS53" i="36"/>
  <c r="CD131" i="36"/>
  <c r="M20" i="49" s="1"/>
  <c r="O20" i="49" s="1"/>
  <c r="CB131" i="36"/>
  <c r="BW53" i="36"/>
  <c r="BU53" i="36"/>
  <c r="BZ7" i="36"/>
  <c r="CD8" i="36"/>
  <c r="CG8" i="36" s="1"/>
  <c r="CB8" i="36"/>
  <c r="CD7" i="36"/>
  <c r="CB7" i="36"/>
  <c r="CG131" i="36" l="1"/>
  <c r="CD19" i="36"/>
  <c r="M42" i="49" s="1"/>
  <c r="O42" i="49" s="1"/>
  <c r="CB19" i="36"/>
  <c r="CD22" i="36"/>
  <c r="CB22" i="36"/>
  <c r="BZ53" i="36"/>
  <c r="CD53" i="36"/>
  <c r="CG53" i="36" s="1"/>
  <c r="CB53" i="36"/>
  <c r="CI131" i="36"/>
  <c r="CG7" i="36"/>
  <c r="CI7" i="36"/>
  <c r="CI8" i="36"/>
  <c r="CI22" i="36" l="1"/>
  <c r="CG22" i="36"/>
  <c r="CI19" i="36"/>
  <c r="CG19" i="36"/>
  <c r="CI53" i="36"/>
  <c r="E139" i="36"/>
  <c r="H139" i="36"/>
  <c r="I139" i="36"/>
  <c r="E151" i="36"/>
  <c r="H151" i="36"/>
  <c r="I151" i="36"/>
  <c r="E160" i="36"/>
  <c r="H160" i="36"/>
  <c r="I160" i="36"/>
  <c r="E169" i="36"/>
  <c r="H169" i="36"/>
  <c r="I169" i="36"/>
  <c r="E118" i="36"/>
  <c r="L118" i="36" s="1"/>
  <c r="S118" i="36" s="1"/>
  <c r="Z118" i="36" s="1"/>
  <c r="AG118" i="36" s="1"/>
  <c r="AN118" i="36" s="1"/>
  <c r="AU118" i="36" s="1"/>
  <c r="BB118" i="36" s="1"/>
  <c r="H118" i="36"/>
  <c r="I118" i="36"/>
  <c r="N118" i="36" s="1"/>
  <c r="Q118" i="36"/>
  <c r="CF118" i="36"/>
  <c r="L169" i="36" l="1"/>
  <c r="L160" i="36"/>
  <c r="L151" i="36"/>
  <c r="L139" i="36"/>
  <c r="G169" i="36"/>
  <c r="J169" i="36" s="1"/>
  <c r="N169" i="36"/>
  <c r="Q169" i="36" s="1"/>
  <c r="O169" i="36"/>
  <c r="G160" i="36"/>
  <c r="J160" i="36" s="1"/>
  <c r="N160" i="36"/>
  <c r="Q160" i="36" s="1"/>
  <c r="O160" i="36"/>
  <c r="G151" i="36"/>
  <c r="J151" i="36" s="1"/>
  <c r="N151" i="36"/>
  <c r="Q151" i="36" s="1"/>
  <c r="O151" i="36"/>
  <c r="G139" i="36"/>
  <c r="J139" i="36" s="1"/>
  <c r="N139" i="36"/>
  <c r="Q139" i="36" s="1"/>
  <c r="O139" i="36"/>
  <c r="O118" i="36"/>
  <c r="G118" i="36"/>
  <c r="J118" i="36" s="1"/>
  <c r="U118" i="36"/>
  <c r="X118" i="36"/>
  <c r="AB118" i="36"/>
  <c r="AI118" i="36"/>
  <c r="AP118" i="36"/>
  <c r="AW118" i="36"/>
  <c r="BD118" i="36"/>
  <c r="BR118" i="36"/>
  <c r="BY118" i="36"/>
  <c r="CI176" i="36"/>
  <c r="CI175" i="36"/>
  <c r="CI174" i="36"/>
  <c r="CI173" i="36"/>
  <c r="CB176" i="36"/>
  <c r="CB175" i="36"/>
  <c r="CB174" i="36"/>
  <c r="CB173" i="36"/>
  <c r="BU176" i="36"/>
  <c r="BU175" i="36"/>
  <c r="BU174" i="36"/>
  <c r="BU173" i="36"/>
  <c r="BN176" i="36"/>
  <c r="BN175" i="36"/>
  <c r="BN174" i="36"/>
  <c r="BN173" i="36"/>
  <c r="S169" i="36" l="1"/>
  <c r="S151" i="36"/>
  <c r="S160" i="36"/>
  <c r="S139" i="36"/>
  <c r="Z169" i="36"/>
  <c r="X169" i="36"/>
  <c r="Z151" i="36"/>
  <c r="X151" i="36"/>
  <c r="Z160" i="36"/>
  <c r="X160" i="36"/>
  <c r="Z139" i="36"/>
  <c r="X139" i="36"/>
  <c r="V118" i="36"/>
  <c r="BG176" i="36"/>
  <c r="BG175" i="36"/>
  <c r="BG174" i="36"/>
  <c r="BG173" i="36"/>
  <c r="AL176" i="36"/>
  <c r="AL175" i="36"/>
  <c r="AL174" i="36"/>
  <c r="AL173" i="36"/>
  <c r="AE176" i="36"/>
  <c r="AE175" i="36"/>
  <c r="AE174" i="36"/>
  <c r="AE173" i="36"/>
  <c r="X176" i="36"/>
  <c r="X175" i="36"/>
  <c r="X174" i="36"/>
  <c r="X173" i="36"/>
  <c r="Q176" i="36"/>
  <c r="Q175" i="36"/>
  <c r="Q174" i="36"/>
  <c r="Q173" i="36"/>
  <c r="J176" i="36"/>
  <c r="J175" i="36"/>
  <c r="J174" i="36"/>
  <c r="J173" i="36"/>
  <c r="AZ176" i="36"/>
  <c r="AZ175" i="36"/>
  <c r="AZ174" i="36"/>
  <c r="AZ173" i="36"/>
  <c r="A4" i="66"/>
  <c r="A5" i="66"/>
  <c r="A6" i="66"/>
  <c r="A7" i="66"/>
  <c r="A8" i="66"/>
  <c r="A9" i="66"/>
  <c r="A10" i="66"/>
  <c r="A11" i="66"/>
  <c r="A12" i="66"/>
  <c r="A13" i="66"/>
  <c r="A14" i="66"/>
  <c r="A15" i="66"/>
  <c r="A16" i="66"/>
  <c r="A17" i="66"/>
  <c r="A18" i="66"/>
  <c r="A19" i="66"/>
  <c r="A20" i="66"/>
  <c r="A21" i="66"/>
  <c r="A22" i="66"/>
  <c r="A23" i="66"/>
  <c r="A24" i="66"/>
  <c r="A25" i="66"/>
  <c r="A26" i="66"/>
  <c r="A27" i="66"/>
  <c r="A28" i="66"/>
  <c r="A29" i="66"/>
  <c r="A30" i="66"/>
  <c r="A31" i="66"/>
  <c r="A32" i="66"/>
  <c r="A33" i="66"/>
  <c r="A34" i="66"/>
  <c r="A35" i="66"/>
  <c r="A36" i="66"/>
  <c r="A37" i="66"/>
  <c r="A38" i="66"/>
  <c r="A39" i="66"/>
  <c r="A40" i="66"/>
  <c r="A41" i="66"/>
  <c r="A42" i="66"/>
  <c r="A43" i="66"/>
  <c r="A44" i="66"/>
  <c r="A45" i="66"/>
  <c r="A46" i="66"/>
  <c r="A47" i="66"/>
  <c r="A48" i="66"/>
  <c r="A49" i="66"/>
  <c r="A50" i="66"/>
  <c r="A51" i="66"/>
  <c r="A52" i="66"/>
  <c r="A53" i="66"/>
  <c r="A54" i="66"/>
  <c r="A55" i="66"/>
  <c r="A56" i="66"/>
  <c r="A57" i="66"/>
  <c r="A58" i="66"/>
  <c r="A59" i="66"/>
  <c r="A60" i="66"/>
  <c r="A61" i="66"/>
  <c r="A62" i="66"/>
  <c r="A63" i="66"/>
  <c r="A64" i="66"/>
  <c r="A65" i="66"/>
  <c r="A66" i="66"/>
  <c r="A67" i="66"/>
  <c r="A68" i="66"/>
  <c r="A69" i="66"/>
  <c r="A70" i="66"/>
  <c r="A71" i="66"/>
  <c r="A72" i="66"/>
  <c r="A73" i="66"/>
  <c r="A74" i="66"/>
  <c r="A75" i="66"/>
  <c r="A76" i="66"/>
  <c r="A77" i="66"/>
  <c r="A78" i="66"/>
  <c r="A79" i="66"/>
  <c r="A80" i="66"/>
  <c r="A81" i="66"/>
  <c r="A82" i="66"/>
  <c r="A83" i="66"/>
  <c r="A84" i="66"/>
  <c r="A85" i="66"/>
  <c r="A86" i="66"/>
  <c r="A87" i="66"/>
  <c r="A88" i="66"/>
  <c r="A89" i="66"/>
  <c r="A90" i="66"/>
  <c r="A91" i="66"/>
  <c r="A92" i="66"/>
  <c r="A93" i="66"/>
  <c r="A94" i="66"/>
  <c r="A95" i="66"/>
  <c r="A96" i="66"/>
  <c r="A97" i="66"/>
  <c r="A98" i="66"/>
  <c r="A99" i="66"/>
  <c r="A100" i="66"/>
  <c r="A102" i="66"/>
  <c r="A103" i="66"/>
  <c r="A105" i="66"/>
  <c r="A106" i="66"/>
  <c r="A107" i="66"/>
  <c r="A108" i="66"/>
  <c r="A109" i="66"/>
  <c r="A110" i="66"/>
  <c r="A111" i="66"/>
  <c r="A112" i="66"/>
  <c r="A113" i="66"/>
  <c r="A114" i="66"/>
  <c r="A115" i="66"/>
  <c r="A116" i="66"/>
  <c r="A117" i="66"/>
  <c r="A118" i="66"/>
  <c r="A119" i="66"/>
  <c r="A120" i="66"/>
  <c r="A121" i="66"/>
  <c r="A122" i="66"/>
  <c r="A123" i="66"/>
  <c r="A124" i="66"/>
  <c r="A125" i="66"/>
  <c r="A126" i="66"/>
  <c r="A127" i="66"/>
  <c r="A128" i="66"/>
  <c r="A129" i="66"/>
  <c r="A130" i="66"/>
  <c r="A131" i="66"/>
  <c r="A134" i="66"/>
  <c r="A135" i="66"/>
  <c r="A136" i="66"/>
  <c r="A137" i="66"/>
  <c r="A138" i="66"/>
  <c r="A139" i="66"/>
  <c r="A140" i="66"/>
  <c r="A141" i="66"/>
  <c r="A142" i="66"/>
  <c r="A143" i="66"/>
  <c r="A144" i="66"/>
  <c r="A145" i="66"/>
  <c r="A146" i="66"/>
  <c r="A147" i="66"/>
  <c r="A148" i="66"/>
  <c r="A149" i="66"/>
  <c r="A150" i="66"/>
  <c r="A151" i="66"/>
  <c r="A152" i="66"/>
  <c r="A153" i="66"/>
  <c r="A154" i="66"/>
  <c r="A155" i="66"/>
  <c r="A156" i="66"/>
  <c r="A157" i="66"/>
  <c r="A158" i="66"/>
  <c r="A159" i="66"/>
  <c r="A161" i="66"/>
  <c r="A162" i="66"/>
  <c r="A163" i="66"/>
  <c r="A164" i="66"/>
  <c r="A165" i="66"/>
  <c r="A166" i="66"/>
  <c r="A167" i="66"/>
  <c r="A168" i="66"/>
  <c r="A169" i="66"/>
  <c r="A170" i="66"/>
  <c r="A171" i="66"/>
  <c r="A172" i="66"/>
  <c r="A173" i="66"/>
  <c r="A174" i="66"/>
  <c r="A175" i="66"/>
  <c r="A176" i="66"/>
  <c r="A177" i="66"/>
  <c r="A178" i="66"/>
  <c r="A179" i="66"/>
  <c r="A180" i="66"/>
  <c r="A181" i="66"/>
  <c r="A184" i="66"/>
  <c r="A186" i="66"/>
  <c r="A188" i="66"/>
  <c r="A190" i="66"/>
  <c r="A191" i="66"/>
  <c r="A192" i="66"/>
  <c r="A193" i="66"/>
  <c r="A195" i="66"/>
  <c r="A196" i="66"/>
  <c r="A197" i="66"/>
  <c r="A198" i="66"/>
  <c r="A199" i="66"/>
  <c r="A200" i="66"/>
  <c r="A201" i="66"/>
  <c r="A202" i="66"/>
  <c r="A203" i="66"/>
  <c r="A204" i="66"/>
  <c r="A206" i="66"/>
  <c r="A207" i="66"/>
  <c r="A208" i="66"/>
  <c r="A209" i="66"/>
  <c r="A210" i="66"/>
  <c r="A211" i="66"/>
  <c r="A212" i="66"/>
  <c r="A213" i="66"/>
  <c r="A214" i="66"/>
  <c r="A215" i="66"/>
  <c r="A216" i="66"/>
  <c r="A217" i="66"/>
  <c r="A218" i="66"/>
  <c r="A219" i="66"/>
  <c r="A220" i="66"/>
  <c r="A221" i="66"/>
  <c r="A222" i="66"/>
  <c r="A223" i="66"/>
  <c r="A224" i="66"/>
  <c r="A225" i="66"/>
  <c r="A226" i="66"/>
  <c r="A227" i="66"/>
  <c r="A228" i="66"/>
  <c r="A229" i="66"/>
  <c r="A230" i="66"/>
  <c r="A231" i="66"/>
  <c r="A232" i="66"/>
  <c r="A233" i="66"/>
  <c r="A234" i="66"/>
  <c r="A235" i="66"/>
  <c r="A236" i="66"/>
  <c r="A237" i="66"/>
  <c r="A238" i="66"/>
  <c r="A239" i="66"/>
  <c r="A240" i="66"/>
  <c r="A241" i="66"/>
  <c r="A242" i="66"/>
  <c r="A243" i="66"/>
  <c r="A244" i="66"/>
  <c r="A245" i="66"/>
  <c r="A246" i="66"/>
  <c r="A247" i="66"/>
  <c r="A248" i="66"/>
  <c r="A249" i="66"/>
  <c r="A250" i="66"/>
  <c r="A251" i="66"/>
  <c r="A252" i="66"/>
  <c r="A253" i="66"/>
  <c r="A254" i="66"/>
  <c r="A255" i="66"/>
  <c r="A256" i="66"/>
  <c r="A257" i="66"/>
  <c r="A258" i="66"/>
  <c r="A259" i="66"/>
  <c r="A260" i="66"/>
  <c r="A261" i="66"/>
  <c r="A262" i="66"/>
  <c r="A263" i="66"/>
  <c r="A264" i="66"/>
  <c r="A265" i="66"/>
  <c r="A266" i="66"/>
  <c r="A267" i="66"/>
  <c r="A268" i="66"/>
  <c r="A269" i="66"/>
  <c r="A270" i="66"/>
  <c r="A271" i="66"/>
  <c r="A272" i="66"/>
  <c r="A273" i="66"/>
  <c r="A274" i="66"/>
  <c r="A275" i="66"/>
  <c r="A276" i="66"/>
  <c r="A277" i="66"/>
  <c r="A278" i="66"/>
  <c r="A279" i="66"/>
  <c r="A280" i="66"/>
  <c r="A281" i="66"/>
  <c r="A282" i="66"/>
  <c r="A283" i="66"/>
  <c r="A284" i="66"/>
  <c r="A285" i="66"/>
  <c r="A286" i="66"/>
  <c r="A287" i="66"/>
  <c r="A288" i="66"/>
  <c r="A289" i="66"/>
  <c r="A290" i="66"/>
  <c r="A291" i="66"/>
  <c r="A292" i="66"/>
  <c r="A293" i="66"/>
  <c r="A294" i="66"/>
  <c r="A295" i="66"/>
  <c r="A296" i="66"/>
  <c r="A297" i="66"/>
  <c r="A298" i="66"/>
  <c r="A299" i="66"/>
  <c r="A300" i="66"/>
  <c r="A3" i="66"/>
  <c r="A4" i="65"/>
  <c r="A5" i="65"/>
  <c r="A6" i="65"/>
  <c r="A7" i="65"/>
  <c r="A8" i="65"/>
  <c r="A9" i="65"/>
  <c r="A10" i="65"/>
  <c r="A11" i="65"/>
  <c r="A12" i="65"/>
  <c r="A13" i="65"/>
  <c r="A14" i="65"/>
  <c r="A15" i="65"/>
  <c r="A16" i="65"/>
  <c r="A17" i="65"/>
  <c r="A18" i="65"/>
  <c r="A19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4" i="65"/>
  <c r="A35" i="65"/>
  <c r="A36" i="65"/>
  <c r="A37" i="65"/>
  <c r="A38" i="65"/>
  <c r="A39" i="65"/>
  <c r="A40" i="65"/>
  <c r="A41" i="65"/>
  <c r="A42" i="65"/>
  <c r="A43" i="65"/>
  <c r="A44" i="65"/>
  <c r="A45" i="65"/>
  <c r="A46" i="65"/>
  <c r="A47" i="65"/>
  <c r="A48" i="65"/>
  <c r="A49" i="65"/>
  <c r="A50" i="65"/>
  <c r="A51" i="65"/>
  <c r="A52" i="65"/>
  <c r="A53" i="65"/>
  <c r="A54" i="65"/>
  <c r="A55" i="65"/>
  <c r="A56" i="65"/>
  <c r="A57" i="65"/>
  <c r="A58" i="65"/>
  <c r="A59" i="65"/>
  <c r="A60" i="65"/>
  <c r="A61" i="65"/>
  <c r="A62" i="65"/>
  <c r="A63" i="65"/>
  <c r="A64" i="65"/>
  <c r="A65" i="65"/>
  <c r="A66" i="65"/>
  <c r="A67" i="65"/>
  <c r="A68" i="65"/>
  <c r="A69" i="65"/>
  <c r="A70" i="65"/>
  <c r="A71" i="65"/>
  <c r="A72" i="65"/>
  <c r="A73" i="65"/>
  <c r="A74" i="65"/>
  <c r="A75" i="65"/>
  <c r="A76" i="65"/>
  <c r="A77" i="65"/>
  <c r="A78" i="65"/>
  <c r="A79" i="65"/>
  <c r="A80" i="65"/>
  <c r="A81" i="65"/>
  <c r="A82" i="65"/>
  <c r="A83" i="65"/>
  <c r="A84" i="65"/>
  <c r="A85" i="65"/>
  <c r="A86" i="65"/>
  <c r="A87" i="65"/>
  <c r="A88" i="65"/>
  <c r="A89" i="65"/>
  <c r="A90" i="65"/>
  <c r="A91" i="65"/>
  <c r="A92" i="65"/>
  <c r="A93" i="65"/>
  <c r="A94" i="65"/>
  <c r="A95" i="65"/>
  <c r="A96" i="65"/>
  <c r="A98" i="65"/>
  <c r="A99" i="65"/>
  <c r="A100" i="65"/>
  <c r="A101" i="65"/>
  <c r="A102" i="65"/>
  <c r="A103" i="65"/>
  <c r="A104" i="65"/>
  <c r="A105" i="65"/>
  <c r="A106" i="65"/>
  <c r="A107" i="65"/>
  <c r="A108" i="65"/>
  <c r="A109" i="65"/>
  <c r="A110" i="65"/>
  <c r="A111" i="65"/>
  <c r="A112" i="65"/>
  <c r="A113" i="65"/>
  <c r="A114" i="65"/>
  <c r="A115" i="65"/>
  <c r="A116" i="65"/>
  <c r="A117" i="65"/>
  <c r="A118" i="65"/>
  <c r="A119" i="65"/>
  <c r="A120" i="65"/>
  <c r="A121" i="65"/>
  <c r="A122" i="65"/>
  <c r="A123" i="65"/>
  <c r="A124" i="65"/>
  <c r="A125" i="65"/>
  <c r="A126" i="65"/>
  <c r="A128" i="65"/>
  <c r="A129" i="65"/>
  <c r="A130" i="65"/>
  <c r="A131" i="65"/>
  <c r="A132" i="65"/>
  <c r="A133" i="65"/>
  <c r="A134" i="65"/>
  <c r="A135" i="65"/>
  <c r="A136" i="65"/>
  <c r="A137" i="65"/>
  <c r="A138" i="65"/>
  <c r="A139" i="65"/>
  <c r="A140" i="65"/>
  <c r="A141" i="65"/>
  <c r="A142" i="65"/>
  <c r="A143" i="65"/>
  <c r="A144" i="65"/>
  <c r="A145" i="65"/>
  <c r="A146" i="65"/>
  <c r="A147" i="65"/>
  <c r="A148" i="65"/>
  <c r="A149" i="65"/>
  <c r="A150" i="65"/>
  <c r="A151" i="65"/>
  <c r="A152" i="65"/>
  <c r="A153" i="65"/>
  <c r="A155" i="65"/>
  <c r="A156" i="65"/>
  <c r="A157" i="65"/>
  <c r="A158" i="65"/>
  <c r="A159" i="65"/>
  <c r="A160" i="65"/>
  <c r="A161" i="65"/>
  <c r="A162" i="65"/>
  <c r="A163" i="65"/>
  <c r="A164" i="65"/>
  <c r="A165" i="65"/>
  <c r="A166" i="65"/>
  <c r="A167" i="65"/>
  <c r="A168" i="65"/>
  <c r="A169" i="65"/>
  <c r="A170" i="65"/>
  <c r="A171" i="65"/>
  <c r="A172" i="65"/>
  <c r="A173" i="65"/>
  <c r="A174" i="65"/>
  <c r="A175" i="65"/>
  <c r="A178" i="65"/>
  <c r="A179" i="65"/>
  <c r="A181" i="65"/>
  <c r="A183" i="65"/>
  <c r="A184" i="65"/>
  <c r="A185" i="65"/>
  <c r="A186" i="65"/>
  <c r="A188" i="65"/>
  <c r="A189" i="65"/>
  <c r="A190" i="65"/>
  <c r="A191" i="65"/>
  <c r="A192" i="65"/>
  <c r="A193" i="65"/>
  <c r="A194" i="65"/>
  <c r="A195" i="65"/>
  <c r="A196" i="65"/>
  <c r="A197" i="65"/>
  <c r="A199" i="65"/>
  <c r="A200" i="65"/>
  <c r="A201" i="65"/>
  <c r="A202" i="65"/>
  <c r="A203" i="65"/>
  <c r="A204" i="65"/>
  <c r="A205" i="65"/>
  <c r="A206" i="65"/>
  <c r="A207" i="65"/>
  <c r="A208" i="65"/>
  <c r="A209" i="65"/>
  <c r="A210" i="65"/>
  <c r="A211" i="65"/>
  <c r="A212" i="65"/>
  <c r="A213" i="65"/>
  <c r="A214" i="65"/>
  <c r="A215" i="65"/>
  <c r="A216" i="65"/>
  <c r="A217" i="65"/>
  <c r="A218" i="65"/>
  <c r="A219" i="65"/>
  <c r="A220" i="65"/>
  <c r="A221" i="65"/>
  <c r="A222" i="65"/>
  <c r="A223" i="65"/>
  <c r="A224" i="65"/>
  <c r="A225" i="65"/>
  <c r="A226" i="65"/>
  <c r="A227" i="65"/>
  <c r="A228" i="65"/>
  <c r="A229" i="65"/>
  <c r="A230" i="65"/>
  <c r="A231" i="65"/>
  <c r="A232" i="65"/>
  <c r="A233" i="65"/>
  <c r="A234" i="65"/>
  <c r="A235" i="65"/>
  <c r="A236" i="65"/>
  <c r="A237" i="65"/>
  <c r="A238" i="65"/>
  <c r="A239" i="65"/>
  <c r="A240" i="65"/>
  <c r="A241" i="65"/>
  <c r="A242" i="65"/>
  <c r="A243" i="65"/>
  <c r="A244" i="65"/>
  <c r="A245" i="65"/>
  <c r="A246" i="65"/>
  <c r="A247" i="65"/>
  <c r="A248" i="65"/>
  <c r="A249" i="65"/>
  <c r="A250" i="65"/>
  <c r="A251" i="65"/>
  <c r="A252" i="65"/>
  <c r="A253" i="65"/>
  <c r="A254" i="65"/>
  <c r="A255" i="65"/>
  <c r="A256" i="65"/>
  <c r="A257" i="65"/>
  <c r="A258" i="65"/>
  <c r="A259" i="65"/>
  <c r="A260" i="65"/>
  <c r="A261" i="65"/>
  <c r="A262" i="65"/>
  <c r="A263" i="65"/>
  <c r="A264" i="65"/>
  <c r="A265" i="65"/>
  <c r="A266" i="65"/>
  <c r="A267" i="65"/>
  <c r="A268" i="65"/>
  <c r="A269" i="65"/>
  <c r="A270" i="65"/>
  <c r="A271" i="65"/>
  <c r="A272" i="65"/>
  <c r="A273" i="65"/>
  <c r="A274" i="65"/>
  <c r="A275" i="65"/>
  <c r="A276" i="65"/>
  <c r="A277" i="65"/>
  <c r="A278" i="65"/>
  <c r="A279" i="65"/>
  <c r="A280" i="65"/>
  <c r="A281" i="65"/>
  <c r="A282" i="65"/>
  <c r="A283" i="65"/>
  <c r="A284" i="65"/>
  <c r="A285" i="65"/>
  <c r="A286" i="65"/>
  <c r="A287" i="65"/>
  <c r="A288" i="65"/>
  <c r="A289" i="65"/>
  <c r="A290" i="65"/>
  <c r="A291" i="65"/>
  <c r="A292" i="65"/>
  <c r="A293" i="65"/>
  <c r="A294" i="65"/>
  <c r="A295" i="65"/>
  <c r="A296" i="65"/>
  <c r="A297" i="65"/>
  <c r="A298" i="65"/>
  <c r="A299" i="65"/>
  <c r="A300" i="65"/>
  <c r="A3" i="65"/>
  <c r="A97" i="65" s="1"/>
  <c r="A4" i="64"/>
  <c r="A5" i="64"/>
  <c r="A6" i="64"/>
  <c r="A7" i="64"/>
  <c r="A8" i="64"/>
  <c r="A9" i="64"/>
  <c r="A10" i="64"/>
  <c r="A11" i="64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A25" i="64"/>
  <c r="A26" i="64"/>
  <c r="A27" i="64"/>
  <c r="A28" i="64"/>
  <c r="A29" i="64"/>
  <c r="A30" i="64"/>
  <c r="A31" i="64"/>
  <c r="A32" i="64"/>
  <c r="A33" i="64"/>
  <c r="A34" i="64"/>
  <c r="A35" i="64"/>
  <c r="A36" i="64"/>
  <c r="A37" i="64"/>
  <c r="A38" i="64"/>
  <c r="A39" i="64"/>
  <c r="A40" i="64"/>
  <c r="A41" i="64"/>
  <c r="A42" i="64"/>
  <c r="A43" i="64"/>
  <c r="A44" i="64"/>
  <c r="A45" i="64"/>
  <c r="A46" i="64"/>
  <c r="A47" i="64"/>
  <c r="A48" i="64"/>
  <c r="A49" i="64"/>
  <c r="A50" i="64"/>
  <c r="A51" i="64"/>
  <c r="A52" i="64"/>
  <c r="A53" i="64"/>
  <c r="A54" i="64"/>
  <c r="A55" i="64"/>
  <c r="A56" i="64"/>
  <c r="A57" i="64"/>
  <c r="A58" i="64"/>
  <c r="A59" i="64"/>
  <c r="A60" i="64"/>
  <c r="A61" i="64"/>
  <c r="A62" i="64"/>
  <c r="A63" i="64"/>
  <c r="A64" i="64"/>
  <c r="A65" i="64"/>
  <c r="A66" i="64"/>
  <c r="A67" i="64"/>
  <c r="A68" i="64"/>
  <c r="A69" i="64"/>
  <c r="A70" i="64"/>
  <c r="A71" i="64"/>
  <c r="A72" i="64"/>
  <c r="A73" i="64"/>
  <c r="A74" i="64"/>
  <c r="A75" i="64"/>
  <c r="A76" i="64"/>
  <c r="A77" i="64"/>
  <c r="A78" i="64"/>
  <c r="A79" i="64"/>
  <c r="A80" i="64"/>
  <c r="A81" i="64"/>
  <c r="A82" i="64"/>
  <c r="A83" i="64"/>
  <c r="A84" i="64"/>
  <c r="A85" i="64"/>
  <c r="A86" i="64"/>
  <c r="A87" i="64"/>
  <c r="A88" i="64"/>
  <c r="A89" i="64"/>
  <c r="A90" i="64"/>
  <c r="A91" i="64"/>
  <c r="A92" i="64"/>
  <c r="A93" i="64"/>
  <c r="A94" i="64"/>
  <c r="A95" i="64"/>
  <c r="A96" i="64"/>
  <c r="A97" i="64"/>
  <c r="A98" i="64"/>
  <c r="A99" i="64"/>
  <c r="A100" i="64"/>
  <c r="A101" i="64"/>
  <c r="A102" i="64"/>
  <c r="A103" i="64"/>
  <c r="A104" i="64"/>
  <c r="A105" i="64"/>
  <c r="A106" i="64"/>
  <c r="A107" i="64"/>
  <c r="A108" i="64"/>
  <c r="A109" i="64"/>
  <c r="A110" i="64"/>
  <c r="A111" i="64"/>
  <c r="A112" i="64"/>
  <c r="A113" i="64"/>
  <c r="A114" i="64"/>
  <c r="A115" i="64"/>
  <c r="A116" i="64"/>
  <c r="A117" i="64"/>
  <c r="A118" i="64"/>
  <c r="A119" i="64"/>
  <c r="A120" i="64"/>
  <c r="A121" i="64"/>
  <c r="A122" i="64"/>
  <c r="A123" i="64"/>
  <c r="A124" i="64"/>
  <c r="A125" i="64"/>
  <c r="A126" i="64"/>
  <c r="A127" i="64"/>
  <c r="A128" i="64"/>
  <c r="A129" i="64"/>
  <c r="A130" i="64"/>
  <c r="A131" i="64"/>
  <c r="A132" i="64"/>
  <c r="A133" i="64"/>
  <c r="A134" i="64"/>
  <c r="A135" i="64"/>
  <c r="A136" i="64"/>
  <c r="A137" i="64"/>
  <c r="A138" i="64"/>
  <c r="A139" i="64"/>
  <c r="A140" i="64"/>
  <c r="A141" i="64"/>
  <c r="A142" i="64"/>
  <c r="A143" i="64"/>
  <c r="A144" i="64"/>
  <c r="A145" i="64"/>
  <c r="A146" i="64"/>
  <c r="A147" i="64"/>
  <c r="A148" i="64"/>
  <c r="A149" i="64"/>
  <c r="A151" i="64"/>
  <c r="A152" i="64"/>
  <c r="A153" i="64"/>
  <c r="A154" i="64"/>
  <c r="A155" i="64"/>
  <c r="A156" i="64"/>
  <c r="A157" i="64"/>
  <c r="A158" i="64"/>
  <c r="A159" i="64"/>
  <c r="A160" i="64"/>
  <c r="A161" i="64"/>
  <c r="A162" i="64"/>
  <c r="A163" i="64"/>
  <c r="A164" i="64"/>
  <c r="A165" i="64"/>
  <c r="A166" i="64"/>
  <c r="A167" i="64"/>
  <c r="A168" i="64"/>
  <c r="A169" i="64"/>
  <c r="A170" i="64"/>
  <c r="A171" i="64"/>
  <c r="A172" i="64"/>
  <c r="A173" i="64"/>
  <c r="A174" i="64"/>
  <c r="A176" i="64"/>
  <c r="A177" i="64"/>
  <c r="A178" i="64"/>
  <c r="A179" i="64"/>
  <c r="A180" i="64"/>
  <c r="A181" i="64"/>
  <c r="A182" i="64"/>
  <c r="A183" i="64"/>
  <c r="A184" i="64"/>
  <c r="A185" i="64"/>
  <c r="A186" i="64"/>
  <c r="A187" i="64"/>
  <c r="A188" i="64"/>
  <c r="A189" i="64"/>
  <c r="A190" i="64"/>
  <c r="A191" i="64"/>
  <c r="A192" i="64"/>
  <c r="A193" i="64"/>
  <c r="A194" i="64"/>
  <c r="A195" i="64"/>
  <c r="A196" i="64"/>
  <c r="A197" i="64"/>
  <c r="A198" i="64"/>
  <c r="A199" i="64"/>
  <c r="A200" i="64"/>
  <c r="A201" i="64"/>
  <c r="A202" i="64"/>
  <c r="A203" i="64"/>
  <c r="A204" i="64"/>
  <c r="A205" i="64"/>
  <c r="A206" i="64"/>
  <c r="A207" i="64"/>
  <c r="A208" i="64"/>
  <c r="A209" i="64"/>
  <c r="A210" i="64"/>
  <c r="A211" i="64"/>
  <c r="A212" i="64"/>
  <c r="A213" i="64"/>
  <c r="A214" i="64"/>
  <c r="A215" i="64"/>
  <c r="A216" i="64"/>
  <c r="A217" i="64"/>
  <c r="A218" i="64"/>
  <c r="A219" i="64"/>
  <c r="A220" i="64"/>
  <c r="A221" i="64"/>
  <c r="A222" i="64"/>
  <c r="A223" i="64"/>
  <c r="A224" i="64"/>
  <c r="A225" i="64"/>
  <c r="A226" i="64"/>
  <c r="A227" i="64"/>
  <c r="A228" i="64"/>
  <c r="A229" i="64"/>
  <c r="A230" i="64"/>
  <c r="A231" i="64"/>
  <c r="A232" i="64"/>
  <c r="A233" i="64"/>
  <c r="A234" i="64"/>
  <c r="A235" i="64"/>
  <c r="A236" i="64"/>
  <c r="A237" i="64"/>
  <c r="A238" i="64"/>
  <c r="A239" i="64"/>
  <c r="A240" i="64"/>
  <c r="A241" i="64"/>
  <c r="A242" i="64"/>
  <c r="A243" i="64"/>
  <c r="A244" i="64"/>
  <c r="A245" i="64"/>
  <c r="A246" i="64"/>
  <c r="A247" i="64"/>
  <c r="A248" i="64"/>
  <c r="A249" i="64"/>
  <c r="A250" i="64"/>
  <c r="A251" i="64"/>
  <c r="A252" i="64"/>
  <c r="A253" i="64"/>
  <c r="A254" i="64"/>
  <c r="A255" i="64"/>
  <c r="A256" i="64"/>
  <c r="A257" i="64"/>
  <c r="A258" i="64"/>
  <c r="A259" i="64"/>
  <c r="A260" i="64"/>
  <c r="A261" i="64"/>
  <c r="A262" i="64"/>
  <c r="A263" i="64"/>
  <c r="A264" i="64"/>
  <c r="A265" i="64"/>
  <c r="A266" i="64"/>
  <c r="A267" i="64"/>
  <c r="A268" i="64"/>
  <c r="A269" i="64"/>
  <c r="A270" i="64"/>
  <c r="A271" i="64"/>
  <c r="A272" i="64"/>
  <c r="A273" i="64"/>
  <c r="A274" i="64"/>
  <c r="A275" i="64"/>
  <c r="A276" i="64"/>
  <c r="A277" i="64"/>
  <c r="A278" i="64"/>
  <c r="A279" i="64"/>
  <c r="A280" i="64"/>
  <c r="A281" i="64"/>
  <c r="A282" i="64"/>
  <c r="A283" i="64"/>
  <c r="A284" i="64"/>
  <c r="A285" i="64"/>
  <c r="A286" i="64"/>
  <c r="A287" i="64"/>
  <c r="A288" i="64"/>
  <c r="A289" i="64"/>
  <c r="A290" i="64"/>
  <c r="A291" i="64"/>
  <c r="A292" i="64"/>
  <c r="A293" i="64"/>
  <c r="A294" i="64"/>
  <c r="A295" i="64"/>
  <c r="A296" i="64"/>
  <c r="A297" i="64"/>
  <c r="A298" i="64"/>
  <c r="A299" i="64"/>
  <c r="A300" i="64"/>
  <c r="A3" i="64"/>
  <c r="A4" i="63"/>
  <c r="A5" i="63"/>
  <c r="A6" i="63"/>
  <c r="A7" i="63"/>
  <c r="A8" i="63"/>
  <c r="A9" i="63"/>
  <c r="A10" i="63"/>
  <c r="A11" i="63"/>
  <c r="A12" i="63"/>
  <c r="A13" i="63"/>
  <c r="A14" i="63"/>
  <c r="A15" i="63"/>
  <c r="A16" i="63"/>
  <c r="A17" i="63"/>
  <c r="A18" i="63"/>
  <c r="A19" i="63"/>
  <c r="A20" i="63"/>
  <c r="A21" i="63"/>
  <c r="A22" i="63"/>
  <c r="A23" i="63"/>
  <c r="A24" i="63"/>
  <c r="A25" i="63"/>
  <c r="A26" i="63"/>
  <c r="A27" i="63"/>
  <c r="A28" i="63"/>
  <c r="A29" i="63"/>
  <c r="A30" i="63"/>
  <c r="A31" i="63"/>
  <c r="A32" i="63"/>
  <c r="A33" i="63"/>
  <c r="A34" i="63"/>
  <c r="A35" i="63"/>
  <c r="A36" i="63"/>
  <c r="A37" i="63"/>
  <c r="A38" i="63"/>
  <c r="A39" i="63"/>
  <c r="A40" i="63"/>
  <c r="A41" i="63"/>
  <c r="A42" i="63"/>
  <c r="A43" i="63"/>
  <c r="A44" i="63"/>
  <c r="A45" i="63"/>
  <c r="A46" i="63"/>
  <c r="A47" i="63"/>
  <c r="A48" i="63"/>
  <c r="A49" i="63"/>
  <c r="A50" i="63"/>
  <c r="A51" i="63"/>
  <c r="A52" i="63"/>
  <c r="A53" i="63"/>
  <c r="A54" i="63"/>
  <c r="A55" i="63"/>
  <c r="A56" i="63"/>
  <c r="A57" i="63"/>
  <c r="A58" i="63"/>
  <c r="A59" i="63"/>
  <c r="A60" i="63"/>
  <c r="A61" i="63"/>
  <c r="A62" i="63"/>
  <c r="A63" i="63"/>
  <c r="A64" i="63"/>
  <c r="A65" i="63"/>
  <c r="A66" i="63"/>
  <c r="A67" i="63"/>
  <c r="A68" i="63"/>
  <c r="A69" i="63"/>
  <c r="A70" i="63"/>
  <c r="A71" i="63"/>
  <c r="A72" i="63"/>
  <c r="A73" i="63"/>
  <c r="A74" i="63"/>
  <c r="A75" i="63"/>
  <c r="A76" i="63"/>
  <c r="A77" i="63"/>
  <c r="A78" i="63"/>
  <c r="A79" i="63"/>
  <c r="A80" i="63"/>
  <c r="A81" i="63"/>
  <c r="A82" i="63"/>
  <c r="A83" i="63"/>
  <c r="A84" i="63"/>
  <c r="A85" i="63"/>
  <c r="A86" i="63"/>
  <c r="A87" i="63"/>
  <c r="A88" i="63"/>
  <c r="A89" i="63"/>
  <c r="A90" i="63"/>
  <c r="A91" i="63"/>
  <c r="A92" i="63"/>
  <c r="A93" i="63"/>
  <c r="A94" i="63"/>
  <c r="A95" i="63"/>
  <c r="A96" i="63"/>
  <c r="A97" i="63"/>
  <c r="A98" i="63"/>
  <c r="A99" i="63"/>
  <c r="A100" i="63"/>
  <c r="A101" i="63"/>
  <c r="A102" i="63"/>
  <c r="A103" i="63"/>
  <c r="A104" i="63"/>
  <c r="A105" i="63"/>
  <c r="A106" i="63"/>
  <c r="A107" i="63"/>
  <c r="A108" i="63"/>
  <c r="A109" i="63"/>
  <c r="A110" i="63"/>
  <c r="A111" i="63"/>
  <c r="A112" i="63"/>
  <c r="A113" i="63"/>
  <c r="A114" i="63"/>
  <c r="A115" i="63"/>
  <c r="A116" i="63"/>
  <c r="A117" i="63"/>
  <c r="A118" i="63"/>
  <c r="A119" i="63"/>
  <c r="A120" i="63"/>
  <c r="A121" i="63"/>
  <c r="A122" i="63"/>
  <c r="A123" i="63"/>
  <c r="A124" i="63"/>
  <c r="A125" i="63"/>
  <c r="A126" i="63"/>
  <c r="A127" i="63"/>
  <c r="A128" i="63"/>
  <c r="A129" i="63"/>
  <c r="A130" i="63"/>
  <c r="A131" i="63"/>
  <c r="A132" i="63"/>
  <c r="A133" i="63"/>
  <c r="A134" i="63"/>
  <c r="A135" i="63"/>
  <c r="A136" i="63"/>
  <c r="A137" i="63"/>
  <c r="A138" i="63"/>
  <c r="A139" i="63"/>
  <c r="A140" i="63"/>
  <c r="A141" i="63"/>
  <c r="A142" i="63"/>
  <c r="A143" i="63"/>
  <c r="A144" i="63"/>
  <c r="A145" i="63"/>
  <c r="A146" i="63"/>
  <c r="A148" i="63"/>
  <c r="A149" i="63"/>
  <c r="A150" i="63"/>
  <c r="A151" i="63"/>
  <c r="A152" i="63"/>
  <c r="A153" i="63"/>
  <c r="A154" i="63"/>
  <c r="A155" i="63"/>
  <c r="A156" i="63"/>
  <c r="A157" i="63"/>
  <c r="A158" i="63"/>
  <c r="A159" i="63"/>
  <c r="A160" i="63"/>
  <c r="A161" i="63"/>
  <c r="A162" i="63"/>
  <c r="A163" i="63"/>
  <c r="A164" i="63"/>
  <c r="A165" i="63"/>
  <c r="A166" i="63"/>
  <c r="A167" i="63"/>
  <c r="A168" i="63"/>
  <c r="A169" i="63"/>
  <c r="A170" i="63"/>
  <c r="A171" i="63"/>
  <c r="A172" i="63"/>
  <c r="A173" i="63"/>
  <c r="A174" i="63"/>
  <c r="A175" i="63"/>
  <c r="A176" i="63"/>
  <c r="A177" i="63"/>
  <c r="A178" i="63"/>
  <c r="A179" i="63"/>
  <c r="A180" i="63"/>
  <c r="A181" i="63"/>
  <c r="A182" i="63"/>
  <c r="A183" i="63"/>
  <c r="A184" i="63"/>
  <c r="A185" i="63"/>
  <c r="A186" i="63"/>
  <c r="A187" i="63"/>
  <c r="A188" i="63"/>
  <c r="A189" i="63"/>
  <c r="A190" i="63"/>
  <c r="A191" i="63"/>
  <c r="A192" i="63"/>
  <c r="A193" i="63"/>
  <c r="A194" i="63"/>
  <c r="A195" i="63"/>
  <c r="A196" i="63"/>
  <c r="A197" i="63"/>
  <c r="A198" i="63"/>
  <c r="A199" i="63"/>
  <c r="A200" i="63"/>
  <c r="A201" i="63"/>
  <c r="A202" i="63"/>
  <c r="A203" i="63"/>
  <c r="A204" i="63"/>
  <c r="A205" i="63"/>
  <c r="A206" i="63"/>
  <c r="A207" i="63"/>
  <c r="A208" i="63"/>
  <c r="A209" i="63"/>
  <c r="A210" i="63"/>
  <c r="A211" i="63"/>
  <c r="A212" i="63"/>
  <c r="A213" i="63"/>
  <c r="A214" i="63"/>
  <c r="A215" i="63"/>
  <c r="A216" i="63"/>
  <c r="A217" i="63"/>
  <c r="A218" i="63"/>
  <c r="A219" i="63"/>
  <c r="A220" i="63"/>
  <c r="A221" i="63"/>
  <c r="A222" i="63"/>
  <c r="A223" i="63"/>
  <c r="A224" i="63"/>
  <c r="A225" i="63"/>
  <c r="A226" i="63"/>
  <c r="A227" i="63"/>
  <c r="A228" i="63"/>
  <c r="A229" i="63"/>
  <c r="A230" i="63"/>
  <c r="A231" i="63"/>
  <c r="A232" i="63"/>
  <c r="A233" i="63"/>
  <c r="A234" i="63"/>
  <c r="A235" i="63"/>
  <c r="A236" i="63"/>
  <c r="A237" i="63"/>
  <c r="A238" i="63"/>
  <c r="A239" i="63"/>
  <c r="A240" i="63"/>
  <c r="A241" i="63"/>
  <c r="A242" i="63"/>
  <c r="A243" i="63"/>
  <c r="A244" i="63"/>
  <c r="A245" i="63"/>
  <c r="A246" i="63"/>
  <c r="A247" i="63"/>
  <c r="A248" i="63"/>
  <c r="A249" i="63"/>
  <c r="A250" i="63"/>
  <c r="A251" i="63"/>
  <c r="A252" i="63"/>
  <c r="A253" i="63"/>
  <c r="A254" i="63"/>
  <c r="A255" i="63"/>
  <c r="A256" i="63"/>
  <c r="A257" i="63"/>
  <c r="A258" i="63"/>
  <c r="A259" i="63"/>
  <c r="A260" i="63"/>
  <c r="A261" i="63"/>
  <c r="A262" i="63"/>
  <c r="A263" i="63"/>
  <c r="A264" i="63"/>
  <c r="A265" i="63"/>
  <c r="A266" i="63"/>
  <c r="A267" i="63"/>
  <c r="A268" i="63"/>
  <c r="A269" i="63"/>
  <c r="A270" i="63"/>
  <c r="A271" i="63"/>
  <c r="A272" i="63"/>
  <c r="A273" i="63"/>
  <c r="A274" i="63"/>
  <c r="A275" i="63"/>
  <c r="A276" i="63"/>
  <c r="A277" i="63"/>
  <c r="A278" i="63"/>
  <c r="A279" i="63"/>
  <c r="A280" i="63"/>
  <c r="A281" i="63"/>
  <c r="A282" i="63"/>
  <c r="A283" i="63"/>
  <c r="A284" i="63"/>
  <c r="A285" i="63"/>
  <c r="A286" i="63"/>
  <c r="A287" i="63"/>
  <c r="A288" i="63"/>
  <c r="A289" i="63"/>
  <c r="A290" i="63"/>
  <c r="A291" i="63"/>
  <c r="A292" i="63"/>
  <c r="A293" i="63"/>
  <c r="A294" i="63"/>
  <c r="A295" i="63"/>
  <c r="A296" i="63"/>
  <c r="A297" i="63"/>
  <c r="A298" i="63"/>
  <c r="A299" i="63"/>
  <c r="A300" i="63"/>
  <c r="A3" i="63"/>
  <c r="A4" i="62"/>
  <c r="A5" i="62"/>
  <c r="A6" i="62"/>
  <c r="A7" i="62"/>
  <c r="A8" i="62"/>
  <c r="A9" i="62"/>
  <c r="A10" i="62"/>
  <c r="A1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6" i="62"/>
  <c r="A97" i="62"/>
  <c r="A98" i="62"/>
  <c r="A99" i="62"/>
  <c r="A100" i="62"/>
  <c r="A101" i="62"/>
  <c r="A102" i="62"/>
  <c r="A103" i="62"/>
  <c r="A105" i="62"/>
  <c r="A106" i="62"/>
  <c r="A107" i="62"/>
  <c r="A108" i="62"/>
  <c r="A109" i="62"/>
  <c r="A110" i="62"/>
  <c r="A111" i="62"/>
  <c r="A112" i="62"/>
  <c r="A116" i="62"/>
  <c r="A117" i="62"/>
  <c r="A118" i="62"/>
  <c r="A119" i="62"/>
  <c r="A120" i="62"/>
  <c r="A121" i="62"/>
  <c r="A122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4" i="62"/>
  <c r="A145" i="62"/>
  <c r="A146" i="62"/>
  <c r="A147" i="62"/>
  <c r="A148" i="62"/>
  <c r="A149" i="62"/>
  <c r="A150" i="62"/>
  <c r="A152" i="62"/>
  <c r="A153" i="62"/>
  <c r="A154" i="62"/>
  <c r="A155" i="62"/>
  <c r="A156" i="62"/>
  <c r="A157" i="62"/>
  <c r="A158" i="62"/>
  <c r="A159" i="62"/>
  <c r="A160" i="62"/>
  <c r="A161" i="62"/>
  <c r="A162" i="62"/>
  <c r="A163" i="62"/>
  <c r="A164" i="62"/>
  <c r="A165" i="62"/>
  <c r="A166" i="62"/>
  <c r="A167" i="62"/>
  <c r="A168" i="62"/>
  <c r="A169" i="62"/>
  <c r="A171" i="62"/>
  <c r="A172" i="62"/>
  <c r="A173" i="62"/>
  <c r="A174" i="62"/>
  <c r="A175" i="62"/>
  <c r="A176" i="62"/>
  <c r="A177" i="62"/>
  <c r="A178" i="62"/>
  <c r="A179" i="62"/>
  <c r="A180" i="62"/>
  <c r="A181" i="62"/>
  <c r="A182" i="62"/>
  <c r="A183" i="62"/>
  <c r="A184" i="62"/>
  <c r="A185" i="62"/>
  <c r="A186" i="62"/>
  <c r="A187" i="62"/>
  <c r="A188" i="62"/>
  <c r="A189" i="62"/>
  <c r="A190" i="62"/>
  <c r="A191" i="62"/>
  <c r="A192" i="62"/>
  <c r="A193" i="62"/>
  <c r="A194" i="62"/>
  <c r="A195" i="62"/>
  <c r="A196" i="62"/>
  <c r="A197" i="62"/>
  <c r="A198" i="62"/>
  <c r="A199" i="62"/>
  <c r="A200" i="62"/>
  <c r="A201" i="62"/>
  <c r="A202" i="62"/>
  <c r="A203" i="62"/>
  <c r="A204" i="62"/>
  <c r="A205" i="62"/>
  <c r="A206" i="62"/>
  <c r="A207" i="62"/>
  <c r="A208" i="62"/>
  <c r="A209" i="62"/>
  <c r="A210" i="62"/>
  <c r="A211" i="62"/>
  <c r="A212" i="62"/>
  <c r="A213" i="62"/>
  <c r="A214" i="62"/>
  <c r="A215" i="62"/>
  <c r="A216" i="62"/>
  <c r="A217" i="62"/>
  <c r="A218" i="62"/>
  <c r="A219" i="62"/>
  <c r="A220" i="62"/>
  <c r="A221" i="62"/>
  <c r="A222" i="62"/>
  <c r="A223" i="62"/>
  <c r="A224" i="62"/>
  <c r="A225" i="62"/>
  <c r="A226" i="62"/>
  <c r="A227" i="62"/>
  <c r="A228" i="62"/>
  <c r="A229" i="62"/>
  <c r="A230" i="62"/>
  <c r="A231" i="62"/>
  <c r="A232" i="62"/>
  <c r="A233" i="62"/>
  <c r="A234" i="62"/>
  <c r="A235" i="62"/>
  <c r="A236" i="62"/>
  <c r="A237" i="62"/>
  <c r="A238" i="62"/>
  <c r="A239" i="62"/>
  <c r="A240" i="62"/>
  <c r="A241" i="62"/>
  <c r="A242" i="62"/>
  <c r="A243" i="62"/>
  <c r="A244" i="62"/>
  <c r="A245" i="62"/>
  <c r="A246" i="62"/>
  <c r="A247" i="62"/>
  <c r="A248" i="62"/>
  <c r="A249" i="62"/>
  <c r="A250" i="62"/>
  <c r="A251" i="62"/>
  <c r="A252" i="62"/>
  <c r="A253" i="62"/>
  <c r="A254" i="62"/>
  <c r="A255" i="62"/>
  <c r="A256" i="62"/>
  <c r="A257" i="62"/>
  <c r="A258" i="62"/>
  <c r="A259" i="62"/>
  <c r="A260" i="62"/>
  <c r="A261" i="62"/>
  <c r="A262" i="62"/>
  <c r="A263" i="62"/>
  <c r="A264" i="62"/>
  <c r="A265" i="62"/>
  <c r="A266" i="62"/>
  <c r="A267" i="62"/>
  <c r="A268" i="62"/>
  <c r="A269" i="62"/>
  <c r="A270" i="62"/>
  <c r="A271" i="62"/>
  <c r="A272" i="62"/>
  <c r="A273" i="62"/>
  <c r="A274" i="62"/>
  <c r="A275" i="62"/>
  <c r="A276" i="62"/>
  <c r="A277" i="62"/>
  <c r="A278" i="62"/>
  <c r="A279" i="62"/>
  <c r="A280" i="62"/>
  <c r="A281" i="62"/>
  <c r="A282" i="62"/>
  <c r="A283" i="62"/>
  <c r="A284" i="62"/>
  <c r="A285" i="62"/>
  <c r="A286" i="62"/>
  <c r="A287" i="62"/>
  <c r="A288" i="62"/>
  <c r="A289" i="62"/>
  <c r="A290" i="62"/>
  <c r="A291" i="62"/>
  <c r="A292" i="62"/>
  <c r="A293" i="62"/>
  <c r="A294" i="62"/>
  <c r="A295" i="62"/>
  <c r="A296" i="62"/>
  <c r="A297" i="62"/>
  <c r="A298" i="62"/>
  <c r="A299" i="62"/>
  <c r="A300" i="62"/>
  <c r="A3" i="62"/>
  <c r="A4" i="61"/>
  <c r="A5" i="61"/>
  <c r="A6" i="61"/>
  <c r="A7" i="61"/>
  <c r="A8" i="61"/>
  <c r="A9" i="61"/>
  <c r="A10" i="61"/>
  <c r="A11" i="61"/>
  <c r="A12" i="61"/>
  <c r="A13" i="61"/>
  <c r="A14" i="61"/>
  <c r="A15" i="61"/>
  <c r="A16" i="61"/>
  <c r="A17" i="61"/>
  <c r="A18" i="61"/>
  <c r="A19" i="61"/>
  <c r="A20" i="61"/>
  <c r="A21" i="61"/>
  <c r="A22" i="61"/>
  <c r="A23" i="61"/>
  <c r="A24" i="61"/>
  <c r="A25" i="61"/>
  <c r="A26" i="61"/>
  <c r="A27" i="61"/>
  <c r="A28" i="61"/>
  <c r="A29" i="61"/>
  <c r="A30" i="61"/>
  <c r="A31" i="61"/>
  <c r="A32" i="61"/>
  <c r="A33" i="61"/>
  <c r="A34" i="61"/>
  <c r="A35" i="61"/>
  <c r="A36" i="61"/>
  <c r="A37" i="61"/>
  <c r="A38" i="61"/>
  <c r="A39" i="61"/>
  <c r="A40" i="61"/>
  <c r="A41" i="61"/>
  <c r="A42" i="61"/>
  <c r="A43" i="61"/>
  <c r="A44" i="61"/>
  <c r="A45" i="61"/>
  <c r="A46" i="61"/>
  <c r="A47" i="61"/>
  <c r="A48" i="61"/>
  <c r="A49" i="61"/>
  <c r="A50" i="61"/>
  <c r="A51" i="61"/>
  <c r="A52" i="61"/>
  <c r="A53" i="61"/>
  <c r="A54" i="61"/>
  <c r="A55" i="61"/>
  <c r="A56" i="61"/>
  <c r="A57" i="61"/>
  <c r="A58" i="61"/>
  <c r="A59" i="61"/>
  <c r="A60" i="61"/>
  <c r="A61" i="61"/>
  <c r="A62" i="61"/>
  <c r="A63" i="61"/>
  <c r="A64" i="61"/>
  <c r="A65" i="61"/>
  <c r="A66" i="61"/>
  <c r="A67" i="61"/>
  <c r="A68" i="61"/>
  <c r="A69" i="61"/>
  <c r="A70" i="61"/>
  <c r="A71" i="61"/>
  <c r="A72" i="61"/>
  <c r="A73" i="61"/>
  <c r="A74" i="61"/>
  <c r="A75" i="61"/>
  <c r="A76" i="61"/>
  <c r="A77" i="61"/>
  <c r="A78" i="61"/>
  <c r="A79" i="61"/>
  <c r="A80" i="61"/>
  <c r="A81" i="61"/>
  <c r="A82" i="61"/>
  <c r="A83" i="61"/>
  <c r="A84" i="61"/>
  <c r="A85" i="61"/>
  <c r="A86" i="61"/>
  <c r="A87" i="61"/>
  <c r="A88" i="61"/>
  <c r="A89" i="61"/>
  <c r="A90" i="61"/>
  <c r="A91" i="61"/>
  <c r="A92" i="61"/>
  <c r="A93" i="61"/>
  <c r="A95" i="61"/>
  <c r="A96" i="61"/>
  <c r="A97" i="61"/>
  <c r="A98" i="61"/>
  <c r="A99" i="61"/>
  <c r="A100" i="61"/>
  <c r="A101" i="61"/>
  <c r="A102" i="61"/>
  <c r="A103" i="61"/>
  <c r="A104" i="61"/>
  <c r="A105" i="61"/>
  <c r="A106" i="61"/>
  <c r="A107" i="61"/>
  <c r="A109" i="61"/>
  <c r="A110" i="61"/>
  <c r="A111" i="61"/>
  <c r="A115" i="61"/>
  <c r="A116" i="61"/>
  <c r="A117" i="61"/>
  <c r="A118" i="61"/>
  <c r="A119" i="61"/>
  <c r="A120" i="61"/>
  <c r="A121" i="61"/>
  <c r="A122" i="61"/>
  <c r="A123" i="61"/>
  <c r="A124" i="61"/>
  <c r="A125" i="61"/>
  <c r="A126" i="61"/>
  <c r="A127" i="61"/>
  <c r="A128" i="61"/>
  <c r="A129" i="61"/>
  <c r="A130" i="61"/>
  <c r="A131" i="61"/>
  <c r="A132" i="61"/>
  <c r="A133" i="61"/>
  <c r="A134" i="61"/>
  <c r="A135" i="61"/>
  <c r="A136" i="61"/>
  <c r="A138" i="61"/>
  <c r="A139" i="61"/>
  <c r="A141" i="61"/>
  <c r="A142" i="61"/>
  <c r="A143" i="61"/>
  <c r="A145" i="61"/>
  <c r="A146" i="61"/>
  <c r="A147" i="61"/>
  <c r="A148" i="61"/>
  <c r="A149" i="61"/>
  <c r="A150" i="61"/>
  <c r="A152" i="61"/>
  <c r="A153" i="61"/>
  <c r="A155" i="61"/>
  <c r="A156" i="61"/>
  <c r="A157" i="61"/>
  <c r="A159" i="61"/>
  <c r="A160" i="61"/>
  <c r="A161" i="61"/>
  <c r="A162" i="61"/>
  <c r="A163" i="61"/>
  <c r="A164" i="61"/>
  <c r="A165" i="61"/>
  <c r="A166" i="61"/>
  <c r="A167" i="61"/>
  <c r="A168" i="61"/>
  <c r="A169" i="61"/>
  <c r="A170" i="61"/>
  <c r="A171" i="61"/>
  <c r="A172" i="61"/>
  <c r="A173" i="61"/>
  <c r="A174" i="61"/>
  <c r="A175" i="61"/>
  <c r="A176" i="61"/>
  <c r="A177" i="61"/>
  <c r="A178" i="61"/>
  <c r="A179" i="61"/>
  <c r="A180" i="61"/>
  <c r="A181" i="61"/>
  <c r="A182" i="61"/>
  <c r="A183" i="61"/>
  <c r="A184" i="61"/>
  <c r="A185" i="61"/>
  <c r="A186" i="61"/>
  <c r="A187" i="61"/>
  <c r="A188" i="61"/>
  <c r="A189" i="61"/>
  <c r="A190" i="61"/>
  <c r="A191" i="61"/>
  <c r="A192" i="61"/>
  <c r="A193" i="61"/>
  <c r="A194" i="61"/>
  <c r="A195" i="61"/>
  <c r="A196" i="61"/>
  <c r="A197" i="61"/>
  <c r="A198" i="61"/>
  <c r="A199" i="61"/>
  <c r="A200" i="61"/>
  <c r="A201" i="61"/>
  <c r="A202" i="61"/>
  <c r="A203" i="61"/>
  <c r="A204" i="61"/>
  <c r="A205" i="61"/>
  <c r="A206" i="61"/>
  <c r="A207" i="61"/>
  <c r="A208" i="61"/>
  <c r="A209" i="61"/>
  <c r="A210" i="61"/>
  <c r="A211" i="61"/>
  <c r="A212" i="61"/>
  <c r="A213" i="61"/>
  <c r="A214" i="61"/>
  <c r="A215" i="61"/>
  <c r="A216" i="61"/>
  <c r="A217" i="61"/>
  <c r="A218" i="61"/>
  <c r="A219" i="61"/>
  <c r="A220" i="61"/>
  <c r="A221" i="61"/>
  <c r="A222" i="61"/>
  <c r="A223" i="61"/>
  <c r="A224" i="61"/>
  <c r="A225" i="61"/>
  <c r="A226" i="61"/>
  <c r="A227" i="61"/>
  <c r="A228" i="61"/>
  <c r="A229" i="61"/>
  <c r="A230" i="61"/>
  <c r="A231" i="61"/>
  <c r="A232" i="61"/>
  <c r="A233" i="61"/>
  <c r="A234" i="61"/>
  <c r="A235" i="61"/>
  <c r="A236" i="61"/>
  <c r="A237" i="61"/>
  <c r="A238" i="61"/>
  <c r="A239" i="61"/>
  <c r="A240" i="61"/>
  <c r="A241" i="61"/>
  <c r="A242" i="61"/>
  <c r="A243" i="61"/>
  <c r="A244" i="61"/>
  <c r="A245" i="61"/>
  <c r="A246" i="61"/>
  <c r="A247" i="61"/>
  <c r="A248" i="61"/>
  <c r="A249" i="61"/>
  <c r="A250" i="61"/>
  <c r="A251" i="61"/>
  <c r="A252" i="61"/>
  <c r="A253" i="61"/>
  <c r="A254" i="61"/>
  <c r="A255" i="61"/>
  <c r="A256" i="61"/>
  <c r="A257" i="61"/>
  <c r="A258" i="61"/>
  <c r="A259" i="61"/>
  <c r="A260" i="61"/>
  <c r="A261" i="61"/>
  <c r="A262" i="61"/>
  <c r="A263" i="61"/>
  <c r="A264" i="61"/>
  <c r="A265" i="61"/>
  <c r="A266" i="61"/>
  <c r="A267" i="61"/>
  <c r="A268" i="61"/>
  <c r="A269" i="61"/>
  <c r="A270" i="61"/>
  <c r="A271" i="61"/>
  <c r="A272" i="61"/>
  <c r="A273" i="61"/>
  <c r="A274" i="61"/>
  <c r="A275" i="61"/>
  <c r="A276" i="61"/>
  <c r="A277" i="61"/>
  <c r="A278" i="61"/>
  <c r="A279" i="61"/>
  <c r="A280" i="61"/>
  <c r="A281" i="61"/>
  <c r="A282" i="61"/>
  <c r="A283" i="61"/>
  <c r="A284" i="61"/>
  <c r="A285" i="61"/>
  <c r="A286" i="61"/>
  <c r="A287" i="61"/>
  <c r="A288" i="61"/>
  <c r="A289" i="61"/>
  <c r="A290" i="61"/>
  <c r="A291" i="61"/>
  <c r="A292" i="61"/>
  <c r="A293" i="61"/>
  <c r="A294" i="61"/>
  <c r="A295" i="61"/>
  <c r="A296" i="61"/>
  <c r="A297" i="61"/>
  <c r="A298" i="61"/>
  <c r="A299" i="61"/>
  <c r="A300" i="61"/>
  <c r="A3" i="61"/>
  <c r="A4" i="58"/>
  <c r="A5" i="58"/>
  <c r="A6" i="58"/>
  <c r="A7" i="58"/>
  <c r="A8" i="58"/>
  <c r="A9" i="58"/>
  <c r="A10" i="58"/>
  <c r="A11" i="58"/>
  <c r="A12" i="58"/>
  <c r="A13" i="58"/>
  <c r="A14" i="58"/>
  <c r="A15" i="58"/>
  <c r="A16" i="58"/>
  <c r="A17" i="58"/>
  <c r="A18" i="58"/>
  <c r="A19" i="58"/>
  <c r="A20" i="58"/>
  <c r="A21" i="58"/>
  <c r="A22" i="58"/>
  <c r="A23" i="58"/>
  <c r="A24" i="58"/>
  <c r="A25" i="58"/>
  <c r="A26" i="58"/>
  <c r="A27" i="58"/>
  <c r="A28" i="58"/>
  <c r="A29" i="58"/>
  <c r="A30" i="58"/>
  <c r="A31" i="58"/>
  <c r="A32" i="58"/>
  <c r="A33" i="58"/>
  <c r="A34" i="58"/>
  <c r="A35" i="58"/>
  <c r="A36" i="58"/>
  <c r="A37" i="58"/>
  <c r="A38" i="58"/>
  <c r="A39" i="58"/>
  <c r="A40" i="58"/>
  <c r="A41" i="58"/>
  <c r="A42" i="58"/>
  <c r="A43" i="58"/>
  <c r="A44" i="58"/>
  <c r="A45" i="58"/>
  <c r="A46" i="58"/>
  <c r="A47" i="58"/>
  <c r="A48" i="58"/>
  <c r="A49" i="58"/>
  <c r="A50" i="58"/>
  <c r="A51" i="58"/>
  <c r="A52" i="58"/>
  <c r="A53" i="58"/>
  <c r="A54" i="58"/>
  <c r="A55" i="58"/>
  <c r="A56" i="58"/>
  <c r="A57" i="58"/>
  <c r="A58" i="58"/>
  <c r="A59" i="58"/>
  <c r="A60" i="58"/>
  <c r="A61" i="58"/>
  <c r="A62" i="58"/>
  <c r="A63" i="58"/>
  <c r="A64" i="58"/>
  <c r="A65" i="58"/>
  <c r="A66" i="58"/>
  <c r="A67" i="58"/>
  <c r="A68" i="58"/>
  <c r="A69" i="58"/>
  <c r="A70" i="58"/>
  <c r="A71" i="58"/>
  <c r="A72" i="58"/>
  <c r="A73" i="58"/>
  <c r="A74" i="58"/>
  <c r="A75" i="58"/>
  <c r="A76" i="58"/>
  <c r="A77" i="58"/>
  <c r="A78" i="58"/>
  <c r="A79" i="58"/>
  <c r="A80" i="58"/>
  <c r="A81" i="58"/>
  <c r="A82" i="58"/>
  <c r="A83" i="58"/>
  <c r="A84" i="58"/>
  <c r="A85" i="58"/>
  <c r="A86" i="58"/>
  <c r="A87" i="58"/>
  <c r="A88" i="58"/>
  <c r="A89" i="58"/>
  <c r="A90" i="58"/>
  <c r="A92" i="58"/>
  <c r="A93" i="58"/>
  <c r="A94" i="58"/>
  <c r="A95" i="58"/>
  <c r="A96" i="58"/>
  <c r="A97" i="58"/>
  <c r="A98" i="58"/>
  <c r="A99" i="58"/>
  <c r="A100" i="58"/>
  <c r="A101" i="58"/>
  <c r="A102" i="58"/>
  <c r="A103" i="58"/>
  <c r="A104" i="58"/>
  <c r="A105" i="58"/>
  <c r="A106" i="58"/>
  <c r="A107" i="58"/>
  <c r="A113" i="58"/>
  <c r="A114" i="58"/>
  <c r="A115" i="58"/>
  <c r="A116" i="58"/>
  <c r="A117" i="58"/>
  <c r="A118" i="58"/>
  <c r="A119" i="58"/>
  <c r="A120" i="58"/>
  <c r="A121" i="58"/>
  <c r="A122" i="58"/>
  <c r="A123" i="58"/>
  <c r="A124" i="58"/>
  <c r="A125" i="58"/>
  <c r="A126" i="58"/>
  <c r="A127" i="58"/>
  <c r="A128" i="58"/>
  <c r="A130" i="58"/>
  <c r="A131" i="58"/>
  <c r="A132" i="58"/>
  <c r="A133" i="58"/>
  <c r="A134" i="58"/>
  <c r="A135" i="58"/>
  <c r="A137" i="58"/>
  <c r="A138" i="58"/>
  <c r="A139" i="58"/>
  <c r="A141" i="58"/>
  <c r="A142" i="58"/>
  <c r="A143" i="58"/>
  <c r="A144" i="58"/>
  <c r="A145" i="58"/>
  <c r="A146" i="58"/>
  <c r="A147" i="58"/>
  <c r="A169" i="58" s="1"/>
  <c r="A148" i="58"/>
  <c r="A149" i="58"/>
  <c r="A150" i="58"/>
  <c r="A151" i="58"/>
  <c r="A152" i="58"/>
  <c r="A153" i="58"/>
  <c r="A154" i="58"/>
  <c r="A155" i="58"/>
  <c r="A156" i="58"/>
  <c r="A158" i="58"/>
  <c r="A159" i="58"/>
  <c r="A160" i="58"/>
  <c r="A161" i="58"/>
  <c r="A162" i="58"/>
  <c r="A163" i="58"/>
  <c r="A164" i="58"/>
  <c r="A165" i="58"/>
  <c r="A166" i="58"/>
  <c r="A167" i="58"/>
  <c r="A168" i="58"/>
  <c r="A170" i="58"/>
  <c r="A171" i="58"/>
  <c r="A172" i="58"/>
  <c r="A173" i="58"/>
  <c r="A174" i="58"/>
  <c r="A175" i="58"/>
  <c r="A176" i="58"/>
  <c r="A177" i="58"/>
  <c r="A178" i="58"/>
  <c r="A179" i="58"/>
  <c r="A181" i="58"/>
  <c r="A182" i="58"/>
  <c r="A183" i="58"/>
  <c r="A184" i="58"/>
  <c r="A185" i="58"/>
  <c r="A186" i="58"/>
  <c r="A187" i="58"/>
  <c r="A188" i="58"/>
  <c r="A189" i="58"/>
  <c r="A192" i="58"/>
  <c r="A193" i="58"/>
  <c r="A194" i="58"/>
  <c r="A195" i="58"/>
  <c r="A196" i="58"/>
  <c r="A197" i="58"/>
  <c r="A198" i="58"/>
  <c r="A199" i="58"/>
  <c r="A200" i="58"/>
  <c r="A201" i="58"/>
  <c r="A202" i="58"/>
  <c r="A203" i="58"/>
  <c r="A204" i="58"/>
  <c r="A205" i="58"/>
  <c r="A206" i="58"/>
  <c r="A207" i="58"/>
  <c r="A208" i="58"/>
  <c r="A209" i="58"/>
  <c r="A210" i="58"/>
  <c r="A211" i="58"/>
  <c r="A212" i="58"/>
  <c r="A213" i="58"/>
  <c r="A214" i="58"/>
  <c r="A215" i="58"/>
  <c r="A216" i="58"/>
  <c r="A217" i="58"/>
  <c r="A218" i="58"/>
  <c r="A219" i="58"/>
  <c r="A220" i="58"/>
  <c r="A221" i="58"/>
  <c r="A222" i="58"/>
  <c r="A223" i="58"/>
  <c r="A224" i="58"/>
  <c r="A225" i="58"/>
  <c r="A226" i="58"/>
  <c r="A227" i="58"/>
  <c r="A228" i="58"/>
  <c r="A229" i="58"/>
  <c r="A230" i="58"/>
  <c r="A231" i="58"/>
  <c r="A232" i="58"/>
  <c r="A233" i="58"/>
  <c r="A234" i="58"/>
  <c r="A235" i="58"/>
  <c r="A236" i="58"/>
  <c r="A237" i="58"/>
  <c r="A238" i="58"/>
  <c r="A239" i="58"/>
  <c r="A240" i="58"/>
  <c r="A241" i="58"/>
  <c r="A242" i="58"/>
  <c r="A243" i="58"/>
  <c r="A244" i="58"/>
  <c r="A245" i="58"/>
  <c r="A246" i="58"/>
  <c r="A247" i="58"/>
  <c r="A248" i="58"/>
  <c r="A249" i="58"/>
  <c r="A250" i="58"/>
  <c r="A251" i="58"/>
  <c r="A252" i="58"/>
  <c r="A253" i="58"/>
  <c r="A254" i="58"/>
  <c r="A255" i="58"/>
  <c r="A256" i="58"/>
  <c r="A257" i="58"/>
  <c r="A258" i="58"/>
  <c r="A259" i="58"/>
  <c r="A260" i="58"/>
  <c r="A261" i="58"/>
  <c r="A262" i="58"/>
  <c r="A263" i="58"/>
  <c r="A264" i="58"/>
  <c r="A265" i="58"/>
  <c r="A266" i="58"/>
  <c r="A267" i="58"/>
  <c r="A268" i="58"/>
  <c r="A269" i="58"/>
  <c r="A270" i="58"/>
  <c r="A271" i="58"/>
  <c r="A272" i="58"/>
  <c r="A273" i="58"/>
  <c r="A274" i="58"/>
  <c r="A275" i="58"/>
  <c r="A276" i="58"/>
  <c r="A277" i="58"/>
  <c r="A278" i="58"/>
  <c r="A279" i="58"/>
  <c r="A280" i="58"/>
  <c r="A281" i="58"/>
  <c r="A282" i="58"/>
  <c r="A283" i="58"/>
  <c r="A284" i="58"/>
  <c r="A285" i="58"/>
  <c r="A286" i="58"/>
  <c r="A287" i="58"/>
  <c r="A288" i="58"/>
  <c r="A289" i="58"/>
  <c r="A290" i="58"/>
  <c r="A291" i="58"/>
  <c r="A292" i="58"/>
  <c r="A293" i="58"/>
  <c r="A294" i="58"/>
  <c r="A295" i="58"/>
  <c r="A296" i="58"/>
  <c r="A297" i="58"/>
  <c r="A298" i="58"/>
  <c r="A299" i="58"/>
  <c r="A300" i="58"/>
  <c r="A3" i="58"/>
  <c r="A4" i="67"/>
  <c r="A5" i="67"/>
  <c r="A6" i="67"/>
  <c r="A7" i="67"/>
  <c r="A8" i="67"/>
  <c r="A9" i="67"/>
  <c r="A10" i="67"/>
  <c r="A11" i="67"/>
  <c r="A12" i="67"/>
  <c r="A13" i="67"/>
  <c r="A14" i="67"/>
  <c r="A15" i="67"/>
  <c r="A16" i="67"/>
  <c r="A17" i="67"/>
  <c r="A18" i="67"/>
  <c r="A19" i="67"/>
  <c r="A20" i="67"/>
  <c r="A21" i="67"/>
  <c r="A22" i="67"/>
  <c r="A23" i="67"/>
  <c r="A24" i="67"/>
  <c r="A25" i="67"/>
  <c r="A26" i="67"/>
  <c r="A27" i="67"/>
  <c r="A28" i="67"/>
  <c r="A29" i="67"/>
  <c r="A30" i="67"/>
  <c r="A31" i="67"/>
  <c r="A32" i="67"/>
  <c r="A33" i="67"/>
  <c r="A34" i="67"/>
  <c r="A35" i="67"/>
  <c r="A36" i="67"/>
  <c r="A37" i="67"/>
  <c r="A38" i="67"/>
  <c r="A39" i="67"/>
  <c r="A40" i="67"/>
  <c r="A41" i="67"/>
  <c r="A42" i="67"/>
  <c r="A43" i="67"/>
  <c r="A44" i="67"/>
  <c r="A45" i="67"/>
  <c r="A46" i="67"/>
  <c r="A47" i="67"/>
  <c r="A48" i="67"/>
  <c r="A49" i="67"/>
  <c r="A50" i="67"/>
  <c r="A51" i="67"/>
  <c r="A52" i="67"/>
  <c r="A53" i="67"/>
  <c r="A54" i="67"/>
  <c r="A55" i="67"/>
  <c r="A56" i="67"/>
  <c r="A57" i="67"/>
  <c r="A58" i="67"/>
  <c r="A59" i="67"/>
  <c r="A60" i="67"/>
  <c r="A61" i="67"/>
  <c r="A62" i="67"/>
  <c r="A63" i="67"/>
  <c r="A64" i="67"/>
  <c r="A65" i="67"/>
  <c r="A66" i="67"/>
  <c r="A67" i="67"/>
  <c r="A68" i="67"/>
  <c r="A69" i="67"/>
  <c r="A70" i="67"/>
  <c r="A71" i="67"/>
  <c r="A72" i="67"/>
  <c r="A73" i="67"/>
  <c r="A74" i="67"/>
  <c r="A75" i="67"/>
  <c r="A76" i="67"/>
  <c r="A77" i="67"/>
  <c r="A78" i="67"/>
  <c r="A79" i="67"/>
  <c r="A80" i="67"/>
  <c r="A81" i="67"/>
  <c r="A82" i="67"/>
  <c r="A83" i="67"/>
  <c r="A84" i="67"/>
  <c r="A85" i="67"/>
  <c r="A86" i="67"/>
  <c r="A87" i="67"/>
  <c r="A88" i="67"/>
  <c r="A89" i="67"/>
  <c r="A90" i="67"/>
  <c r="A92" i="67"/>
  <c r="A93" i="67"/>
  <c r="A94" i="67"/>
  <c r="A95" i="67"/>
  <c r="A96" i="67"/>
  <c r="A97" i="67"/>
  <c r="A98" i="67"/>
  <c r="A99" i="67"/>
  <c r="A100" i="67"/>
  <c r="A101" i="67"/>
  <c r="A102" i="67"/>
  <c r="A103" i="67"/>
  <c r="A104" i="67"/>
  <c r="A109" i="67"/>
  <c r="A110" i="67"/>
  <c r="A111" i="67"/>
  <c r="A112" i="67"/>
  <c r="A113" i="67"/>
  <c r="A114" i="67"/>
  <c r="A115" i="67"/>
  <c r="A116" i="67"/>
  <c r="A117" i="67"/>
  <c r="A118" i="67"/>
  <c r="A119" i="67"/>
  <c r="A120" i="67"/>
  <c r="A121" i="67"/>
  <c r="A122" i="67"/>
  <c r="A123" i="67"/>
  <c r="A124" i="67"/>
  <c r="A125" i="67"/>
  <c r="A126" i="67"/>
  <c r="A127" i="67"/>
  <c r="A128" i="67"/>
  <c r="A129" i="67"/>
  <c r="A130" i="67"/>
  <c r="A132" i="67"/>
  <c r="A133" i="67"/>
  <c r="A134" i="67"/>
  <c r="A136" i="67"/>
  <c r="A137" i="67"/>
  <c r="A138" i="67"/>
  <c r="A139" i="67"/>
  <c r="A140" i="67"/>
  <c r="A141" i="67"/>
  <c r="A142" i="67"/>
  <c r="A143" i="67"/>
  <c r="A144" i="67"/>
  <c r="A145" i="67"/>
  <c r="A146" i="67"/>
  <c r="A147" i="67"/>
  <c r="A148" i="67"/>
  <c r="A149" i="67"/>
  <c r="A150" i="67"/>
  <c r="A152" i="67"/>
  <c r="A153" i="67"/>
  <c r="A154" i="67"/>
  <c r="A155" i="67"/>
  <c r="A156" i="67"/>
  <c r="A157" i="67"/>
  <c r="A158" i="67"/>
  <c r="A159" i="67"/>
  <c r="A160" i="67"/>
  <c r="A161" i="67"/>
  <c r="A162" i="67"/>
  <c r="A163" i="67"/>
  <c r="A164" i="67"/>
  <c r="A165" i="67"/>
  <c r="A166" i="67"/>
  <c r="A167" i="67"/>
  <c r="A168" i="67"/>
  <c r="A169" i="67"/>
  <c r="A170" i="67"/>
  <c r="A171" i="67"/>
  <c r="A172" i="67"/>
  <c r="A173" i="67"/>
  <c r="A175" i="67"/>
  <c r="A176" i="67"/>
  <c r="A177" i="67"/>
  <c r="A178" i="67"/>
  <c r="A179" i="67"/>
  <c r="A180" i="67"/>
  <c r="A181" i="67"/>
  <c r="A182" i="67"/>
  <c r="A183" i="67"/>
  <c r="A186" i="67"/>
  <c r="A187" i="67"/>
  <c r="A188" i="67"/>
  <c r="A189" i="67"/>
  <c r="A190" i="67"/>
  <c r="A191" i="67"/>
  <c r="A192" i="67"/>
  <c r="A193" i="67"/>
  <c r="A194" i="67"/>
  <c r="A195" i="67"/>
  <c r="A196" i="67"/>
  <c r="A197" i="67"/>
  <c r="A198" i="67"/>
  <c r="A199" i="67"/>
  <c r="A200" i="67"/>
  <c r="A201" i="67"/>
  <c r="A202" i="67"/>
  <c r="A203" i="67"/>
  <c r="A204" i="67"/>
  <c r="A205" i="67"/>
  <c r="A206" i="67"/>
  <c r="A207" i="67"/>
  <c r="A208" i="67"/>
  <c r="A209" i="67"/>
  <c r="A210" i="67"/>
  <c r="A211" i="67"/>
  <c r="A212" i="67"/>
  <c r="A213" i="67"/>
  <c r="A214" i="67"/>
  <c r="A215" i="67"/>
  <c r="A216" i="67"/>
  <c r="A217" i="67"/>
  <c r="A218" i="67"/>
  <c r="A219" i="67"/>
  <c r="A220" i="67"/>
  <c r="A221" i="67"/>
  <c r="A222" i="67"/>
  <c r="A223" i="67"/>
  <c r="A224" i="67"/>
  <c r="A225" i="67"/>
  <c r="A226" i="67"/>
  <c r="A227" i="67"/>
  <c r="A228" i="67"/>
  <c r="A229" i="67"/>
  <c r="A230" i="67"/>
  <c r="A231" i="67"/>
  <c r="A232" i="67"/>
  <c r="A233" i="67"/>
  <c r="A234" i="67"/>
  <c r="A235" i="67"/>
  <c r="A236" i="67"/>
  <c r="A237" i="67"/>
  <c r="A238" i="67"/>
  <c r="A239" i="67"/>
  <c r="A240" i="67"/>
  <c r="A241" i="67"/>
  <c r="A242" i="67"/>
  <c r="A243" i="67"/>
  <c r="A244" i="67"/>
  <c r="A245" i="67"/>
  <c r="A246" i="67"/>
  <c r="A247" i="67"/>
  <c r="A248" i="67"/>
  <c r="A249" i="67"/>
  <c r="A250" i="67"/>
  <c r="A251" i="67"/>
  <c r="A252" i="67"/>
  <c r="A253" i="67"/>
  <c r="A254" i="67"/>
  <c r="A255" i="67"/>
  <c r="A256" i="67"/>
  <c r="A257" i="67"/>
  <c r="A258" i="67"/>
  <c r="A259" i="67"/>
  <c r="A260" i="67"/>
  <c r="A261" i="67"/>
  <c r="A262" i="67"/>
  <c r="A263" i="67"/>
  <c r="A264" i="67"/>
  <c r="A265" i="67"/>
  <c r="A266" i="67"/>
  <c r="A267" i="67"/>
  <c r="A268" i="67"/>
  <c r="A269" i="67"/>
  <c r="A270" i="67"/>
  <c r="A271" i="67"/>
  <c r="A272" i="67"/>
  <c r="A273" i="67"/>
  <c r="A274" i="67"/>
  <c r="A275" i="67"/>
  <c r="A276" i="67"/>
  <c r="A277" i="67"/>
  <c r="A278" i="67"/>
  <c r="A279" i="67"/>
  <c r="A280" i="67"/>
  <c r="A281" i="67"/>
  <c r="A282" i="67"/>
  <c r="A283" i="67"/>
  <c r="A284" i="67"/>
  <c r="A285" i="67"/>
  <c r="A286" i="67"/>
  <c r="A287" i="67"/>
  <c r="A288" i="67"/>
  <c r="A289" i="67"/>
  <c r="A290" i="67"/>
  <c r="A291" i="67"/>
  <c r="A292" i="67"/>
  <c r="A293" i="67"/>
  <c r="A294" i="67"/>
  <c r="A295" i="67"/>
  <c r="A296" i="67"/>
  <c r="A297" i="67"/>
  <c r="A298" i="67"/>
  <c r="A299" i="67"/>
  <c r="A300" i="67"/>
  <c r="A3" i="67"/>
  <c r="A4" i="68"/>
  <c r="A5" i="68"/>
  <c r="A6" i="68"/>
  <c r="A7" i="68"/>
  <c r="A8" i="68"/>
  <c r="A9" i="68"/>
  <c r="A10" i="68"/>
  <c r="A11" i="68"/>
  <c r="A12" i="68"/>
  <c r="A13" i="68"/>
  <c r="A14" i="68"/>
  <c r="A15" i="68"/>
  <c r="A16" i="68"/>
  <c r="A17" i="68"/>
  <c r="A18" i="68"/>
  <c r="A19" i="68"/>
  <c r="A20" i="68"/>
  <c r="A21" i="68"/>
  <c r="A22" i="68"/>
  <c r="A23" i="68"/>
  <c r="A24" i="68"/>
  <c r="A25" i="68"/>
  <c r="A26" i="68"/>
  <c r="A27" i="68"/>
  <c r="A28" i="68"/>
  <c r="A29" i="68"/>
  <c r="A30" i="68"/>
  <c r="A31" i="68"/>
  <c r="A32" i="68"/>
  <c r="A33" i="68"/>
  <c r="A34" i="68"/>
  <c r="A35" i="68"/>
  <c r="A36" i="68"/>
  <c r="A37" i="68"/>
  <c r="A38" i="68"/>
  <c r="A39" i="68"/>
  <c r="A40" i="68"/>
  <c r="A41" i="68"/>
  <c r="A42" i="68"/>
  <c r="A43" i="68"/>
  <c r="A44" i="68"/>
  <c r="A45" i="68"/>
  <c r="A46" i="68"/>
  <c r="A47" i="68"/>
  <c r="A48" i="68"/>
  <c r="A49" i="68"/>
  <c r="A50" i="68"/>
  <c r="A51" i="68"/>
  <c r="A52" i="68"/>
  <c r="A53" i="68"/>
  <c r="A54" i="68"/>
  <c r="A55" i="68"/>
  <c r="A56" i="68"/>
  <c r="A57" i="68"/>
  <c r="A58" i="68"/>
  <c r="A59" i="68"/>
  <c r="A60" i="68"/>
  <c r="A61" i="68"/>
  <c r="A62" i="68"/>
  <c r="A63" i="68"/>
  <c r="A64" i="68"/>
  <c r="A65" i="68"/>
  <c r="A66" i="68"/>
  <c r="A67" i="68"/>
  <c r="A68" i="68"/>
  <c r="A69" i="68"/>
  <c r="A70" i="68"/>
  <c r="A71" i="68"/>
  <c r="A72" i="68"/>
  <c r="A73" i="68"/>
  <c r="A74" i="68"/>
  <c r="A75" i="68"/>
  <c r="A76" i="68"/>
  <c r="A77" i="68"/>
  <c r="A78" i="68"/>
  <c r="A79" i="68"/>
  <c r="A80" i="68"/>
  <c r="A81" i="68"/>
  <c r="A82" i="68"/>
  <c r="A83" i="68"/>
  <c r="A84" i="68"/>
  <c r="A85" i="68"/>
  <c r="A87" i="68"/>
  <c r="A88" i="68"/>
  <c r="A89" i="68"/>
  <c r="A90" i="68"/>
  <c r="A91" i="68"/>
  <c r="A92" i="68"/>
  <c r="A93" i="68"/>
  <c r="A94" i="68"/>
  <c r="A95" i="68"/>
  <c r="A96" i="68"/>
  <c r="A101" i="68"/>
  <c r="A102" i="68"/>
  <c r="A103" i="68"/>
  <c r="A104" i="68"/>
  <c r="A105" i="68"/>
  <c r="A106" i="68"/>
  <c r="A107" i="68"/>
  <c r="A108" i="68"/>
  <c r="A109" i="68"/>
  <c r="A110" i="68"/>
  <c r="A111" i="68"/>
  <c r="A112" i="68"/>
  <c r="A113" i="68"/>
  <c r="A114" i="68"/>
  <c r="A115" i="68"/>
  <c r="A116" i="68"/>
  <c r="A117" i="68"/>
  <c r="A118" i="68"/>
  <c r="A119" i="68"/>
  <c r="A120" i="68"/>
  <c r="A121" i="68"/>
  <c r="A122" i="68"/>
  <c r="A123" i="68"/>
  <c r="A124" i="68"/>
  <c r="A125" i="68"/>
  <c r="A126" i="68"/>
  <c r="A127" i="68"/>
  <c r="A128" i="68"/>
  <c r="A129" i="68"/>
  <c r="A130" i="68"/>
  <c r="A131" i="68"/>
  <c r="A132" i="68"/>
  <c r="A133" i="68"/>
  <c r="A134" i="68"/>
  <c r="A135" i="68"/>
  <c r="A136" i="68"/>
  <c r="A137" i="68"/>
  <c r="A138" i="68"/>
  <c r="A139" i="68"/>
  <c r="A140" i="68"/>
  <c r="A141" i="68"/>
  <c r="A142" i="68"/>
  <c r="A143" i="68"/>
  <c r="A144" i="68"/>
  <c r="A145" i="68"/>
  <c r="A146" i="68"/>
  <c r="A147" i="68"/>
  <c r="A148" i="68"/>
  <c r="A149" i="68"/>
  <c r="A150" i="68"/>
  <c r="A151" i="68"/>
  <c r="A152" i="68"/>
  <c r="A153" i="68"/>
  <c r="A154" i="68"/>
  <c r="A155" i="68"/>
  <c r="A156" i="68"/>
  <c r="A157" i="68"/>
  <c r="A158" i="68"/>
  <c r="A159" i="68"/>
  <c r="A160" i="68"/>
  <c r="A161" i="68"/>
  <c r="A162" i="68"/>
  <c r="A163" i="68"/>
  <c r="A164" i="68"/>
  <c r="A165" i="68"/>
  <c r="A166" i="68"/>
  <c r="A167" i="68"/>
  <c r="A168" i="68"/>
  <c r="A169" i="68"/>
  <c r="A170" i="68"/>
  <c r="A171" i="68"/>
  <c r="A172" i="68"/>
  <c r="A173" i="68"/>
  <c r="A174" i="68"/>
  <c r="A175" i="68"/>
  <c r="A176" i="68"/>
  <c r="A177" i="68"/>
  <c r="A178" i="68"/>
  <c r="A179" i="68"/>
  <c r="A180" i="68"/>
  <c r="A181" i="68"/>
  <c r="A182" i="68"/>
  <c r="A183" i="68"/>
  <c r="A184" i="68"/>
  <c r="A185" i="68"/>
  <c r="A186" i="68"/>
  <c r="A187" i="68"/>
  <c r="A188" i="68"/>
  <c r="A189" i="68"/>
  <c r="A190" i="68"/>
  <c r="A191" i="68"/>
  <c r="A192" i="68"/>
  <c r="A193" i="68"/>
  <c r="A194" i="68"/>
  <c r="A195" i="68"/>
  <c r="A196" i="68"/>
  <c r="A197" i="68"/>
  <c r="A198" i="68"/>
  <c r="A199" i="68"/>
  <c r="A200" i="68"/>
  <c r="A201" i="68"/>
  <c r="A202" i="68"/>
  <c r="A203" i="68"/>
  <c r="A204" i="68"/>
  <c r="A205" i="68"/>
  <c r="A206" i="68"/>
  <c r="A207" i="68"/>
  <c r="A208" i="68"/>
  <c r="A209" i="68"/>
  <c r="A210" i="68"/>
  <c r="A211" i="68"/>
  <c r="A212" i="68"/>
  <c r="A213" i="68"/>
  <c r="A214" i="68"/>
  <c r="A215" i="68"/>
  <c r="A216" i="68"/>
  <c r="A217" i="68"/>
  <c r="A218" i="68"/>
  <c r="A219" i="68"/>
  <c r="A220" i="68"/>
  <c r="A221" i="68"/>
  <c r="A222" i="68"/>
  <c r="A223" i="68"/>
  <c r="A224" i="68"/>
  <c r="A225" i="68"/>
  <c r="A226" i="68"/>
  <c r="A227" i="68"/>
  <c r="A228" i="68"/>
  <c r="A229" i="68"/>
  <c r="A230" i="68"/>
  <c r="A231" i="68"/>
  <c r="A232" i="68"/>
  <c r="A233" i="68"/>
  <c r="A234" i="68"/>
  <c r="A235" i="68"/>
  <c r="A236" i="68"/>
  <c r="A237" i="68"/>
  <c r="A238" i="68"/>
  <c r="A239" i="68"/>
  <c r="A240" i="68"/>
  <c r="A241" i="68"/>
  <c r="A242" i="68"/>
  <c r="A243" i="68"/>
  <c r="A244" i="68"/>
  <c r="A245" i="68"/>
  <c r="A246" i="68"/>
  <c r="A247" i="68"/>
  <c r="A248" i="68"/>
  <c r="A249" i="68"/>
  <c r="A250" i="68"/>
  <c r="A251" i="68"/>
  <c r="A252" i="68"/>
  <c r="A253" i="68"/>
  <c r="A254" i="68"/>
  <c r="A255" i="68"/>
  <c r="A256" i="68"/>
  <c r="A257" i="68"/>
  <c r="A258" i="68"/>
  <c r="A259" i="68"/>
  <c r="A260" i="68"/>
  <c r="A261" i="68"/>
  <c r="A262" i="68"/>
  <c r="A263" i="68"/>
  <c r="A264" i="68"/>
  <c r="A265" i="68"/>
  <c r="A266" i="68"/>
  <c r="A267" i="68"/>
  <c r="A268" i="68"/>
  <c r="A269" i="68"/>
  <c r="A270" i="68"/>
  <c r="A271" i="68"/>
  <c r="A272" i="68"/>
  <c r="A273" i="68"/>
  <c r="A274" i="68"/>
  <c r="A275" i="68"/>
  <c r="A276" i="68"/>
  <c r="A277" i="68"/>
  <c r="A278" i="68"/>
  <c r="A279" i="68"/>
  <c r="A280" i="68"/>
  <c r="A281" i="68"/>
  <c r="A282" i="68"/>
  <c r="A283" i="68"/>
  <c r="A284" i="68"/>
  <c r="A285" i="68"/>
  <c r="A286" i="68"/>
  <c r="A287" i="68"/>
  <c r="A288" i="68"/>
  <c r="A289" i="68"/>
  <c r="A290" i="68"/>
  <c r="A291" i="68"/>
  <c r="A292" i="68"/>
  <c r="A293" i="68"/>
  <c r="A294" i="68"/>
  <c r="A295" i="68"/>
  <c r="A296" i="68"/>
  <c r="A297" i="68"/>
  <c r="A298" i="68"/>
  <c r="A299" i="68"/>
  <c r="A300" i="68"/>
  <c r="A3" i="68"/>
  <c r="A3" i="72"/>
  <c r="AS176" i="36"/>
  <c r="AS175" i="36"/>
  <c r="AS174" i="36"/>
  <c r="AS173" i="36"/>
  <c r="BD129" i="36"/>
  <c r="AW129" i="36"/>
  <c r="CF126" i="36"/>
  <c r="CF121" i="36"/>
  <c r="CI121" i="36" s="1"/>
  <c r="CF112" i="36"/>
  <c r="CF103" i="36"/>
  <c r="CF130" i="36"/>
  <c r="CF115" i="36"/>
  <c r="CF107" i="36"/>
  <c r="CI107" i="36" s="1"/>
  <c r="CF97" i="36"/>
  <c r="CI97" i="36" s="1"/>
  <c r="CF92" i="36"/>
  <c r="CF84" i="36"/>
  <c r="CF75" i="36"/>
  <c r="CF65" i="36"/>
  <c r="CF57" i="36"/>
  <c r="CF47" i="36"/>
  <c r="CI47" i="36" s="1"/>
  <c r="CF94" i="36"/>
  <c r="CF87" i="36"/>
  <c r="CI87" i="36" s="1"/>
  <c r="CF78" i="36"/>
  <c r="CF69" i="36"/>
  <c r="CF60" i="36"/>
  <c r="CF50" i="36"/>
  <c r="I129" i="36"/>
  <c r="N129" i="36" s="1"/>
  <c r="CF133" i="36"/>
  <c r="CF110" i="36"/>
  <c r="CF125" i="36"/>
  <c r="CF104" i="36"/>
  <c r="CF90" i="36"/>
  <c r="CI90" i="36" s="1"/>
  <c r="CF72" i="36"/>
  <c r="CF55" i="36"/>
  <c r="CF85" i="36"/>
  <c r="CI85" i="36" s="1"/>
  <c r="CF67" i="36"/>
  <c r="CF48" i="36"/>
  <c r="CI48" i="36" s="1"/>
  <c r="CF129" i="36"/>
  <c r="AB129" i="36"/>
  <c r="U129" i="36"/>
  <c r="BY129" i="36"/>
  <c r="CH25" i="36"/>
  <c r="CF132" i="36"/>
  <c r="CF122" i="36"/>
  <c r="CF127" i="36"/>
  <c r="CF116" i="36"/>
  <c r="CF108" i="36"/>
  <c r="CI108" i="36" s="1"/>
  <c r="CF120" i="36"/>
  <c r="CF111" i="36"/>
  <c r="CF102" i="36"/>
  <c r="CF101" i="36"/>
  <c r="CF88" i="36"/>
  <c r="CI88" i="36" s="1"/>
  <c r="CF80" i="36"/>
  <c r="CF70" i="36"/>
  <c r="CF61" i="36"/>
  <c r="CF51" i="36"/>
  <c r="CF91" i="36"/>
  <c r="CF83" i="36"/>
  <c r="CI83" i="36" s="1"/>
  <c r="CF73" i="36"/>
  <c r="CF64" i="36"/>
  <c r="CF56" i="36"/>
  <c r="CF46" i="36"/>
  <c r="CI46" i="36" s="1"/>
  <c r="BR129" i="36"/>
  <c r="CF124" i="36"/>
  <c r="CF119" i="36"/>
  <c r="CF113" i="36"/>
  <c r="CF95" i="36"/>
  <c r="CF82" i="36"/>
  <c r="CF63" i="36"/>
  <c r="CF45" i="36"/>
  <c r="CI45" i="36" s="1"/>
  <c r="CF93" i="36"/>
  <c r="CF76" i="36"/>
  <c r="CF58" i="36"/>
  <c r="BY125" i="36"/>
  <c r="BY126" i="36"/>
  <c r="BY114" i="36"/>
  <c r="BY106" i="36"/>
  <c r="BY96" i="36"/>
  <c r="BY128" i="36"/>
  <c r="BY115" i="36"/>
  <c r="BY107" i="36"/>
  <c r="CB107" i="36" s="1"/>
  <c r="BY97" i="36"/>
  <c r="CB97" i="36" s="1"/>
  <c r="BY89" i="36"/>
  <c r="CB89" i="36" s="1"/>
  <c r="BY81" i="36"/>
  <c r="BY71" i="36"/>
  <c r="CB71" i="36" s="1"/>
  <c r="BY62" i="36"/>
  <c r="BY82" i="36"/>
  <c r="BY63" i="36"/>
  <c r="BY54" i="36"/>
  <c r="CB54" i="36" s="1"/>
  <c r="BY44" i="36"/>
  <c r="CB44" i="36" s="1"/>
  <c r="BY84" i="36"/>
  <c r="BY65" i="36"/>
  <c r="BY55" i="36"/>
  <c r="BY45" i="36"/>
  <c r="CB45" i="36" s="1"/>
  <c r="BY130" i="36"/>
  <c r="BY110" i="36"/>
  <c r="BY111" i="36"/>
  <c r="BY93" i="36"/>
  <c r="BY76" i="36"/>
  <c r="BY90" i="36"/>
  <c r="CB90" i="36" s="1"/>
  <c r="BY58" i="36"/>
  <c r="BY75" i="36"/>
  <c r="BY49" i="36"/>
  <c r="CB49" i="36" s="1"/>
  <c r="BR132" i="36"/>
  <c r="BR122" i="36"/>
  <c r="BR130" i="36"/>
  <c r="BR115" i="36"/>
  <c r="BR107" i="36"/>
  <c r="BU107" i="36" s="1"/>
  <c r="BR97" i="36"/>
  <c r="BU97" i="36" s="1"/>
  <c r="BR89" i="36"/>
  <c r="BU89" i="36" s="1"/>
  <c r="BR81" i="36"/>
  <c r="BR71" i="36"/>
  <c r="BU71" i="36" s="1"/>
  <c r="BR62" i="36"/>
  <c r="BR133" i="36"/>
  <c r="BR110" i="36"/>
  <c r="BR92" i="36"/>
  <c r="BR75" i="36"/>
  <c r="BR60" i="36"/>
  <c r="BR50" i="36"/>
  <c r="BR116" i="36"/>
  <c r="BR98" i="36"/>
  <c r="BR82" i="36"/>
  <c r="BR63" i="36"/>
  <c r="BR51" i="36"/>
  <c r="BR43" i="36"/>
  <c r="BU43" i="36" s="1"/>
  <c r="AI129" i="36"/>
  <c r="CF114" i="36"/>
  <c r="CF109" i="36"/>
  <c r="CI109" i="36" s="1"/>
  <c r="CF96" i="36"/>
  <c r="CF77" i="36"/>
  <c r="CI77" i="36" s="1"/>
  <c r="CF59" i="36"/>
  <c r="CF89" i="36"/>
  <c r="CI89" i="36" s="1"/>
  <c r="CF71" i="36"/>
  <c r="CI71" i="36" s="1"/>
  <c r="CF54" i="36"/>
  <c r="CI54" i="36" s="1"/>
  <c r="BY123" i="36"/>
  <c r="BY122" i="36"/>
  <c r="BY103" i="36"/>
  <c r="BY124" i="36"/>
  <c r="BY104" i="36"/>
  <c r="BY87" i="36"/>
  <c r="CB87" i="36" s="1"/>
  <c r="BY69" i="36"/>
  <c r="BY77" i="36"/>
  <c r="CB77" i="36" s="1"/>
  <c r="BY50" i="36"/>
  <c r="BY61" i="36"/>
  <c r="BY43" i="36"/>
  <c r="CB43" i="36" s="1"/>
  <c r="BR125" i="36"/>
  <c r="BR104" i="36"/>
  <c r="BR87" i="36"/>
  <c r="BU87" i="36" s="1"/>
  <c r="BR69" i="36"/>
  <c r="BR123" i="36"/>
  <c r="BR88" i="36"/>
  <c r="BU88" i="36" s="1"/>
  <c r="BR58" i="36"/>
  <c r="BR112" i="36"/>
  <c r="BR77" i="36"/>
  <c r="BU77" i="36" s="1"/>
  <c r="BR49" i="36"/>
  <c r="BU49" i="36" s="1"/>
  <c r="BM25" i="36"/>
  <c r="BK25" i="36" s="1"/>
  <c r="BY116" i="36"/>
  <c r="BY98" i="36"/>
  <c r="BY117" i="36"/>
  <c r="BY100" i="36"/>
  <c r="BY83" i="36"/>
  <c r="CB83" i="36" s="1"/>
  <c r="BY64" i="36"/>
  <c r="BY68" i="36"/>
  <c r="BY46" i="36"/>
  <c r="CB46" i="36" s="1"/>
  <c r="BY88" i="36"/>
  <c r="CB88" i="36" s="1"/>
  <c r="BY57" i="36"/>
  <c r="BY121" i="36"/>
  <c r="CB121" i="36" s="1"/>
  <c r="BY119" i="36"/>
  <c r="BY101" i="36"/>
  <c r="BY120" i="36"/>
  <c r="BY102" i="36"/>
  <c r="BY85" i="36"/>
  <c r="CB85" i="36" s="1"/>
  <c r="BY67" i="36"/>
  <c r="BY72" i="36"/>
  <c r="BY48" i="36"/>
  <c r="CB48" i="36" s="1"/>
  <c r="BY92" i="36"/>
  <c r="BY59" i="36"/>
  <c r="BR126" i="36"/>
  <c r="BR120" i="36"/>
  <c r="BR111" i="36"/>
  <c r="BR102" i="36"/>
  <c r="BR93" i="36"/>
  <c r="BR85" i="36"/>
  <c r="BU85" i="36" s="1"/>
  <c r="BR76" i="36"/>
  <c r="BR67" i="36"/>
  <c r="BR119" i="36"/>
  <c r="BR101" i="36"/>
  <c r="BR84" i="36"/>
  <c r="BR65" i="36"/>
  <c r="BR56" i="36"/>
  <c r="BR46" i="36"/>
  <c r="BU46" i="36" s="1"/>
  <c r="BR127" i="36"/>
  <c r="BR108" i="36"/>
  <c r="BU108" i="36" s="1"/>
  <c r="BR90" i="36"/>
  <c r="BU90" i="36" s="1"/>
  <c r="BR72" i="36"/>
  <c r="BR57" i="36"/>
  <c r="BR47" i="36"/>
  <c r="BU47" i="36" s="1"/>
  <c r="AP129" i="36"/>
  <c r="CF128" i="36"/>
  <c r="CF123" i="36"/>
  <c r="CF106" i="36"/>
  <c r="CF117" i="36"/>
  <c r="CF100" i="36"/>
  <c r="CF86" i="36"/>
  <c r="CF68" i="36"/>
  <c r="CF49" i="36"/>
  <c r="CI49" i="36" s="1"/>
  <c r="CF98" i="36"/>
  <c r="CF81" i="36"/>
  <c r="CF62" i="36"/>
  <c r="CF44" i="36"/>
  <c r="CI44" i="36" s="1"/>
  <c r="BY133" i="36"/>
  <c r="BY112" i="36"/>
  <c r="BY113" i="36"/>
  <c r="BY95" i="36"/>
  <c r="BY78" i="36"/>
  <c r="BY94" i="36"/>
  <c r="BY60" i="36"/>
  <c r="BY80" i="36"/>
  <c r="BY51" i="36"/>
  <c r="BR128" i="36"/>
  <c r="BR113" i="36"/>
  <c r="BR95" i="36"/>
  <c r="BR78" i="36"/>
  <c r="BR106" i="36"/>
  <c r="BR70" i="36"/>
  <c r="BR48" i="36"/>
  <c r="BU48" i="36" s="1"/>
  <c r="BR94" i="36"/>
  <c r="BR59" i="36"/>
  <c r="CA25" i="36"/>
  <c r="BY127" i="36"/>
  <c r="BY132" i="36"/>
  <c r="L31" i="49" s="1"/>
  <c r="L37" i="49" s="1"/>
  <c r="BY108" i="36"/>
  <c r="CB108" i="36" s="1"/>
  <c r="BY109" i="36"/>
  <c r="CB109" i="36" s="1"/>
  <c r="BY91" i="36"/>
  <c r="BY73" i="36"/>
  <c r="BY86" i="36"/>
  <c r="BY56" i="36"/>
  <c r="BY70" i="36"/>
  <c r="BY47" i="36"/>
  <c r="CB47" i="36" s="1"/>
  <c r="BR117" i="36"/>
  <c r="BR100" i="36"/>
  <c r="BR83" i="36"/>
  <c r="BU83" i="36" s="1"/>
  <c r="BR64" i="36"/>
  <c r="BR114" i="36"/>
  <c r="BR80" i="36"/>
  <c r="BR54" i="36"/>
  <c r="BU54" i="36" s="1"/>
  <c r="BR103" i="36"/>
  <c r="BR68" i="36"/>
  <c r="BR45" i="36"/>
  <c r="BU45" i="36" s="1"/>
  <c r="BT25" i="36"/>
  <c r="BR25" i="36" s="1"/>
  <c r="BR124" i="36"/>
  <c r="BR109" i="36"/>
  <c r="BU109" i="36" s="1"/>
  <c r="BR91" i="36"/>
  <c r="BR73" i="36"/>
  <c r="BR96" i="36"/>
  <c r="BR61" i="36"/>
  <c r="BR44" i="36"/>
  <c r="BU44" i="36" s="1"/>
  <c r="BR121" i="36"/>
  <c r="BU121" i="36" s="1"/>
  <c r="BR86" i="36"/>
  <c r="BR55" i="36"/>
  <c r="N31" i="49" l="1"/>
  <c r="J31" i="49"/>
  <c r="J37" i="49" s="1"/>
  <c r="A91" i="58"/>
  <c r="A91" i="67"/>
  <c r="A86" i="68"/>
  <c r="A143" i="62"/>
  <c r="A95" i="62"/>
  <c r="A104" i="62"/>
  <c r="A151" i="62"/>
  <c r="A108" i="61"/>
  <c r="A94" i="61"/>
  <c r="V169" i="36"/>
  <c r="V160" i="36"/>
  <c r="V151" i="36"/>
  <c r="V139" i="36"/>
  <c r="AG169" i="36"/>
  <c r="AE169" i="36"/>
  <c r="AJ169" i="36"/>
  <c r="AC169" i="36"/>
  <c r="AG160" i="36"/>
  <c r="AE160" i="36"/>
  <c r="AJ160" i="36"/>
  <c r="AC160" i="36"/>
  <c r="AG151" i="36"/>
  <c r="AE151" i="36"/>
  <c r="AJ151" i="36"/>
  <c r="AC151" i="36"/>
  <c r="AG139" i="36"/>
  <c r="AE139" i="36"/>
  <c r="AJ139" i="36"/>
  <c r="AC139" i="36"/>
  <c r="AC118" i="36"/>
  <c r="AE118" i="36"/>
  <c r="CF43" i="36"/>
  <c r="CI43" i="36" s="1"/>
  <c r="A108" i="58"/>
  <c r="A109" i="58"/>
  <c r="A129" i="58"/>
  <c r="A136" i="58"/>
  <c r="A140" i="58"/>
  <c r="A157" i="58"/>
  <c r="A180" i="58"/>
  <c r="A190" i="58"/>
  <c r="A191" i="58"/>
  <c r="A105" i="67"/>
  <c r="A106" i="67"/>
  <c r="A131" i="67"/>
  <c r="A135" i="67"/>
  <c r="A151" i="67"/>
  <c r="A174" i="67"/>
  <c r="A184" i="67"/>
  <c r="A185" i="67"/>
  <c r="CF25" i="36"/>
  <c r="BY25" i="36"/>
  <c r="A97" i="68"/>
  <c r="A98" i="68"/>
  <c r="BM135" i="36"/>
  <c r="BT24" i="36"/>
  <c r="CA24" i="36"/>
  <c r="BM21" i="36"/>
  <c r="CF15" i="36"/>
  <c r="CH163" i="36"/>
  <c r="BM15" i="36"/>
  <c r="BM163" i="36"/>
  <c r="BT15" i="36"/>
  <c r="BM24" i="36"/>
  <c r="BT42" i="36"/>
  <c r="CA135" i="36"/>
  <c r="CH15" i="36"/>
  <c r="BM42" i="36"/>
  <c r="BM150" i="36"/>
  <c r="BR15" i="36"/>
  <c r="BT150" i="36"/>
  <c r="BR21" i="36"/>
  <c r="BT21" i="36"/>
  <c r="BT135" i="36"/>
  <c r="BY15" i="36"/>
  <c r="CA21" i="36"/>
  <c r="BY21" i="36"/>
  <c r="CA150" i="36"/>
  <c r="CH42" i="36"/>
  <c r="CH150" i="36"/>
  <c r="CA15" i="36"/>
  <c r="CA42" i="36"/>
  <c r="CH21" i="36"/>
  <c r="CF21" i="36"/>
  <c r="CH24" i="36"/>
  <c r="BT163" i="36"/>
  <c r="BR163" i="36"/>
  <c r="J10" i="49" s="1"/>
  <c r="CA163" i="36"/>
  <c r="G129" i="36"/>
  <c r="CH135" i="36"/>
  <c r="CF163" i="36"/>
  <c r="N10" i="49" s="1"/>
  <c r="E129" i="36"/>
  <c r="L129" i="36" s="1"/>
  <c r="S129" i="36" s="1"/>
  <c r="Z129" i="36" s="1"/>
  <c r="AG129" i="36" s="1"/>
  <c r="AN129" i="36" s="1"/>
  <c r="AU129" i="36" s="1"/>
  <c r="BB129" i="36" s="1"/>
  <c r="A147" i="63"/>
  <c r="J5" i="63" s="1"/>
  <c r="L5" i="63" s="1"/>
  <c r="A150" i="64"/>
  <c r="A175" i="64" s="1"/>
  <c r="A101" i="66"/>
  <c r="A127" i="65"/>
  <c r="A137" i="61"/>
  <c r="A144" i="61"/>
  <c r="A140" i="61"/>
  <c r="A62" i="71"/>
  <c r="A300" i="72"/>
  <c r="A299" i="72"/>
  <c r="A298" i="72"/>
  <c r="A297" i="72"/>
  <c r="A296" i="72"/>
  <c r="A295" i="72"/>
  <c r="A294" i="72"/>
  <c r="A293" i="72"/>
  <c r="A292" i="72"/>
  <c r="A291" i="72"/>
  <c r="A290" i="72"/>
  <c r="A289" i="72"/>
  <c r="A288" i="72"/>
  <c r="A287" i="72"/>
  <c r="A286" i="72"/>
  <c r="A285" i="72"/>
  <c r="A284" i="72"/>
  <c r="A283" i="72"/>
  <c r="A282" i="72"/>
  <c r="A281" i="72"/>
  <c r="A280" i="72"/>
  <c r="A279" i="72"/>
  <c r="A278" i="72"/>
  <c r="A277" i="72"/>
  <c r="A276" i="72"/>
  <c r="A275" i="72"/>
  <c r="A274" i="72"/>
  <c r="A273" i="72"/>
  <c r="A272" i="72"/>
  <c r="A271" i="72"/>
  <c r="A270" i="72"/>
  <c r="A269" i="72"/>
  <c r="A268" i="72"/>
  <c r="A267" i="72"/>
  <c r="A266" i="72"/>
  <c r="A265" i="72"/>
  <c r="A264" i="72"/>
  <c r="A263" i="72"/>
  <c r="A262" i="72"/>
  <c r="A261" i="72"/>
  <c r="A260" i="72"/>
  <c r="A259" i="72"/>
  <c r="A258" i="72"/>
  <c r="A257" i="72"/>
  <c r="A256" i="72"/>
  <c r="A255" i="72"/>
  <c r="A254" i="72"/>
  <c r="A253" i="72"/>
  <c r="A252" i="72"/>
  <c r="A251" i="72"/>
  <c r="A250" i="72"/>
  <c r="A249" i="72"/>
  <c r="A248" i="72"/>
  <c r="A247" i="72"/>
  <c r="A246" i="72"/>
  <c r="A245" i="72"/>
  <c r="A244" i="72"/>
  <c r="A243" i="72"/>
  <c r="A242" i="72"/>
  <c r="A241" i="72"/>
  <c r="A240" i="72"/>
  <c r="A239" i="72"/>
  <c r="A238" i="72"/>
  <c r="A237" i="72"/>
  <c r="A236" i="72"/>
  <c r="A235" i="72"/>
  <c r="A234" i="72"/>
  <c r="A233" i="72"/>
  <c r="A232" i="72"/>
  <c r="A231" i="72"/>
  <c r="A230" i="72"/>
  <c r="A229" i="72"/>
  <c r="A228" i="72"/>
  <c r="A227" i="72"/>
  <c r="A226" i="72"/>
  <c r="A225" i="72"/>
  <c r="A224" i="72"/>
  <c r="A223" i="72"/>
  <c r="A222" i="72"/>
  <c r="A221" i="72"/>
  <c r="A220" i="72"/>
  <c r="A219" i="72"/>
  <c r="A218" i="72"/>
  <c r="A217" i="72"/>
  <c r="A216" i="72"/>
  <c r="A215" i="72"/>
  <c r="A214" i="72"/>
  <c r="A213" i="72"/>
  <c r="A212" i="72"/>
  <c r="A211" i="72"/>
  <c r="A210" i="72"/>
  <c r="A209" i="72"/>
  <c r="A208" i="72"/>
  <c r="A207" i="72"/>
  <c r="A206" i="72"/>
  <c r="A205" i="72"/>
  <c r="A204" i="72"/>
  <c r="A203" i="72"/>
  <c r="A202" i="72"/>
  <c r="A201" i="72"/>
  <c r="A200" i="72"/>
  <c r="A199" i="72"/>
  <c r="A198" i="72"/>
  <c r="A197" i="72"/>
  <c r="A196" i="72"/>
  <c r="A195" i="72"/>
  <c r="A194" i="72"/>
  <c r="A193" i="72"/>
  <c r="A192" i="72"/>
  <c r="A191" i="72"/>
  <c r="A190" i="72"/>
  <c r="A189" i="72"/>
  <c r="A188" i="72"/>
  <c r="A187" i="72"/>
  <c r="A186" i="72"/>
  <c r="A185" i="72"/>
  <c r="A184" i="72"/>
  <c r="A183" i="72"/>
  <c r="A182" i="72"/>
  <c r="A181" i="72"/>
  <c r="A180" i="72"/>
  <c r="A179" i="72"/>
  <c r="A178" i="72"/>
  <c r="A177" i="72"/>
  <c r="A176" i="72"/>
  <c r="A175" i="72"/>
  <c r="A174" i="72"/>
  <c r="A173" i="72"/>
  <c r="A172" i="72"/>
  <c r="A171" i="72"/>
  <c r="A170" i="72"/>
  <c r="A169" i="72"/>
  <c r="A168" i="72"/>
  <c r="A167" i="72"/>
  <c r="A166" i="72"/>
  <c r="A165" i="72"/>
  <c r="A164" i="72"/>
  <c r="A163" i="72"/>
  <c r="A162" i="72"/>
  <c r="A161" i="72"/>
  <c r="A160" i="72"/>
  <c r="A159" i="72"/>
  <c r="A158" i="72"/>
  <c r="A157" i="72"/>
  <c r="A156" i="72"/>
  <c r="A155" i="72"/>
  <c r="A154" i="72"/>
  <c r="A153" i="72"/>
  <c r="A152" i="72"/>
  <c r="A151" i="72"/>
  <c r="A150" i="72"/>
  <c r="A149" i="72"/>
  <c r="A148" i="72"/>
  <c r="A147" i="72"/>
  <c r="A146" i="72"/>
  <c r="A145" i="72"/>
  <c r="A144" i="72"/>
  <c r="A143" i="72"/>
  <c r="A142" i="72"/>
  <c r="A141" i="72"/>
  <c r="A140" i="72"/>
  <c r="A139" i="72"/>
  <c r="A138" i="72"/>
  <c r="A137" i="72"/>
  <c r="A133" i="72"/>
  <c r="A132" i="72"/>
  <c r="A131" i="72"/>
  <c r="A130" i="72"/>
  <c r="A129" i="72"/>
  <c r="A128" i="72"/>
  <c r="A127" i="72"/>
  <c r="A126" i="72"/>
  <c r="A125" i="72"/>
  <c r="A124" i="72"/>
  <c r="A122" i="72"/>
  <c r="A121" i="72"/>
  <c r="A120" i="72"/>
  <c r="A119" i="72"/>
  <c r="A118" i="72"/>
  <c r="A117" i="72"/>
  <c r="A116" i="72"/>
  <c r="A115" i="72"/>
  <c r="A114" i="72"/>
  <c r="A113" i="72"/>
  <c r="A112" i="72"/>
  <c r="A111" i="72"/>
  <c r="A110" i="72"/>
  <c r="A109" i="72"/>
  <c r="A108" i="72"/>
  <c r="A107" i="72"/>
  <c r="A106" i="72"/>
  <c r="A105" i="72"/>
  <c r="A104" i="72"/>
  <c r="A103" i="72"/>
  <c r="A102" i="72"/>
  <c r="A101" i="72"/>
  <c r="A100" i="72"/>
  <c r="A99" i="72"/>
  <c r="A98" i="72"/>
  <c r="A97" i="72"/>
  <c r="A96" i="72"/>
  <c r="A95" i="72"/>
  <c r="A94" i="72"/>
  <c r="A92" i="72"/>
  <c r="A91" i="72"/>
  <c r="A90" i="72"/>
  <c r="A89" i="72"/>
  <c r="A88" i="72"/>
  <c r="A87" i="72"/>
  <c r="A86" i="72"/>
  <c r="A84" i="72"/>
  <c r="A83" i="72"/>
  <c r="A82" i="72"/>
  <c r="A81" i="72"/>
  <c r="A80" i="72"/>
  <c r="A79" i="72"/>
  <c r="A78" i="72"/>
  <c r="A77" i="72"/>
  <c r="A76" i="72"/>
  <c r="A75" i="72"/>
  <c r="A74" i="72"/>
  <c r="A73" i="72"/>
  <c r="A72" i="72"/>
  <c r="A71" i="72"/>
  <c r="A70" i="72"/>
  <c r="A69" i="72"/>
  <c r="A68" i="72"/>
  <c r="A67" i="72"/>
  <c r="A66" i="72"/>
  <c r="A65" i="72"/>
  <c r="A64" i="72"/>
  <c r="A63" i="72"/>
  <c r="A62" i="72"/>
  <c r="A61" i="72"/>
  <c r="A60" i="72"/>
  <c r="A59" i="72"/>
  <c r="A58" i="72"/>
  <c r="A57" i="72"/>
  <c r="A56" i="72"/>
  <c r="A55" i="72"/>
  <c r="A54" i="72"/>
  <c r="A53" i="72"/>
  <c r="A52" i="72"/>
  <c r="A51" i="72"/>
  <c r="A50" i="72"/>
  <c r="A49" i="72"/>
  <c r="A48" i="72"/>
  <c r="A47" i="72"/>
  <c r="A46" i="72"/>
  <c r="A45" i="72"/>
  <c r="A44" i="72"/>
  <c r="A43" i="72"/>
  <c r="A42" i="72"/>
  <c r="A41" i="72"/>
  <c r="A40" i="72"/>
  <c r="A39" i="72"/>
  <c r="A38" i="72"/>
  <c r="A37" i="72"/>
  <c r="A36" i="72"/>
  <c r="A35" i="72"/>
  <c r="A34" i="72"/>
  <c r="A33" i="72"/>
  <c r="A32" i="72"/>
  <c r="A31" i="72"/>
  <c r="A30" i="72"/>
  <c r="A29" i="72"/>
  <c r="A28" i="72"/>
  <c r="A27" i="72"/>
  <c r="A26" i="72"/>
  <c r="A25" i="72"/>
  <c r="A24" i="72"/>
  <c r="A23" i="72"/>
  <c r="A22" i="72"/>
  <c r="A21" i="72"/>
  <c r="A20" i="72"/>
  <c r="A19" i="72"/>
  <c r="A18" i="72"/>
  <c r="A17" i="72"/>
  <c r="A16" i="72"/>
  <c r="A15" i="72"/>
  <c r="A14" i="72"/>
  <c r="A13" i="72"/>
  <c r="A12" i="72"/>
  <c r="A11" i="72"/>
  <c r="A10" i="72"/>
  <c r="A9" i="72"/>
  <c r="A8" i="72"/>
  <c r="A7" i="72"/>
  <c r="A6" i="72"/>
  <c r="A5" i="72"/>
  <c r="A4" i="72"/>
  <c r="BD55" i="36"/>
  <c r="BD72" i="36"/>
  <c r="BD56" i="36"/>
  <c r="BD87" i="36"/>
  <c r="BG87" i="36" s="1"/>
  <c r="BD104" i="36"/>
  <c r="BD122" i="36"/>
  <c r="BD62" i="36"/>
  <c r="BD92" i="36"/>
  <c r="BD114" i="36"/>
  <c r="BD116" i="36"/>
  <c r="AY25" i="36"/>
  <c r="E16" i="36"/>
  <c r="BD61" i="36"/>
  <c r="BD80" i="36"/>
  <c r="BD69" i="36"/>
  <c r="BD93" i="36"/>
  <c r="BD111" i="36"/>
  <c r="BD128" i="36"/>
  <c r="BD76" i="36"/>
  <c r="BD98" i="36"/>
  <c r="BD127" i="36"/>
  <c r="BD132" i="36"/>
  <c r="E9" i="36"/>
  <c r="BN46" i="36"/>
  <c r="BN90" i="36"/>
  <c r="BN48" i="36"/>
  <c r="BD65" i="36"/>
  <c r="BD78" i="36"/>
  <c r="BD124" i="36"/>
  <c r="BD94" i="36"/>
  <c r="BD121" i="36"/>
  <c r="BG121" i="36" s="1"/>
  <c r="BN89" i="36"/>
  <c r="BN83" i="36"/>
  <c r="BD59" i="36"/>
  <c r="BD77" i="36"/>
  <c r="BG77" i="36" s="1"/>
  <c r="BD64" i="36"/>
  <c r="BD91" i="36"/>
  <c r="BD109" i="36"/>
  <c r="BG109" i="36" s="1"/>
  <c r="BD126" i="36"/>
  <c r="BD71" i="36"/>
  <c r="BG71" i="36" s="1"/>
  <c r="BD96" i="36"/>
  <c r="BD123" i="36"/>
  <c r="BD125" i="36"/>
  <c r="BD57" i="36"/>
  <c r="BD60" i="36"/>
  <c r="BD107" i="36"/>
  <c r="BG107" i="36" s="1"/>
  <c r="BD48" i="36"/>
  <c r="BG48" i="36" s="1"/>
  <c r="BD103" i="36"/>
  <c r="BN97" i="36"/>
  <c r="BN71" i="36"/>
  <c r="BN109" i="36"/>
  <c r="BN54" i="36"/>
  <c r="BN45" i="36"/>
  <c r="BN44" i="36"/>
  <c r="BN121" i="36"/>
  <c r="BD45" i="36"/>
  <c r="BG45" i="36" s="1"/>
  <c r="BD63" i="36"/>
  <c r="BD82" i="36"/>
  <c r="BD73" i="36"/>
  <c r="BD95" i="36"/>
  <c r="BD113" i="36"/>
  <c r="BD44" i="36"/>
  <c r="BG44" i="36" s="1"/>
  <c r="BD81" i="36"/>
  <c r="BD101" i="36"/>
  <c r="BD130" i="36"/>
  <c r="BD43" i="36"/>
  <c r="BG43" i="36" s="1"/>
  <c r="BD51" i="36"/>
  <c r="BD70" i="36"/>
  <c r="BD50" i="36"/>
  <c r="BD85" i="36"/>
  <c r="BG85" i="36" s="1"/>
  <c r="BD102" i="36"/>
  <c r="BD120" i="36"/>
  <c r="BD58" i="36"/>
  <c r="BD90" i="36"/>
  <c r="BG90" i="36" s="1"/>
  <c r="BD110" i="36"/>
  <c r="BD112" i="36"/>
  <c r="BN85" i="36"/>
  <c r="BN108" i="36"/>
  <c r="BN47" i="36"/>
  <c r="BN87" i="36"/>
  <c r="BN88" i="36"/>
  <c r="BN77" i="36"/>
  <c r="BN49" i="36"/>
  <c r="BF25" i="36"/>
  <c r="BD25" i="36" s="1"/>
  <c r="BD47" i="36"/>
  <c r="BG47" i="36" s="1"/>
  <c r="BD84" i="36"/>
  <c r="BD97" i="36"/>
  <c r="BG97" i="36" s="1"/>
  <c r="BD67" i="36"/>
  <c r="BD119" i="36"/>
  <c r="BN107" i="36"/>
  <c r="BD49" i="36"/>
  <c r="BG49" i="36" s="1"/>
  <c r="BD68" i="36"/>
  <c r="BD46" i="36"/>
  <c r="BG46" i="36" s="1"/>
  <c r="BD83" i="36"/>
  <c r="BG83" i="36" s="1"/>
  <c r="BD100" i="36"/>
  <c r="BD117" i="36"/>
  <c r="BD54" i="36"/>
  <c r="BG54" i="36" s="1"/>
  <c r="BD88" i="36"/>
  <c r="BG88" i="36" s="1"/>
  <c r="BD106" i="36"/>
  <c r="BD108" i="36"/>
  <c r="BG108" i="36" s="1"/>
  <c r="E117" i="36"/>
  <c r="L117" i="36" s="1"/>
  <c r="S117" i="36" s="1"/>
  <c r="Z117" i="36" s="1"/>
  <c r="AG117" i="36" s="1"/>
  <c r="AN117" i="36" s="1"/>
  <c r="AU117" i="36" s="1"/>
  <c r="BB117" i="36" s="1"/>
  <c r="BD75" i="36"/>
  <c r="BD89" i="36"/>
  <c r="BG89" i="36" s="1"/>
  <c r="BD115" i="36"/>
  <c r="BD86" i="36"/>
  <c r="BD133" i="36"/>
  <c r="H31" i="49"/>
  <c r="H37" i="49" s="1"/>
  <c r="BN43" i="36"/>
  <c r="N7" i="49" l="1"/>
  <c r="L7" i="49"/>
  <c r="J7" i="49"/>
  <c r="F31" i="49"/>
  <c r="F37" i="49" s="1"/>
  <c r="A85" i="72"/>
  <c r="A93" i="72"/>
  <c r="A112" i="61"/>
  <c r="A113" i="62"/>
  <c r="A110" i="58"/>
  <c r="A114" i="62"/>
  <c r="A111" i="58"/>
  <c r="A107" i="67"/>
  <c r="A99" i="68"/>
  <c r="AN11" i="36"/>
  <c r="E11" i="36"/>
  <c r="AN169" i="36"/>
  <c r="AL169" i="36"/>
  <c r="AN151" i="36"/>
  <c r="AL151" i="36"/>
  <c r="AN160" i="36"/>
  <c r="AL160" i="36"/>
  <c r="AN139" i="36"/>
  <c r="AL139" i="36"/>
  <c r="AJ118" i="36"/>
  <c r="AL118" i="36"/>
  <c r="L16" i="36"/>
  <c r="O16" i="36"/>
  <c r="S16" i="36"/>
  <c r="Z11" i="36"/>
  <c r="AG11" i="36"/>
  <c r="E12" i="36"/>
  <c r="AZ11" i="36"/>
  <c r="H11" i="36"/>
  <c r="H12" i="36"/>
  <c r="AU10" i="36"/>
  <c r="AG10" i="36"/>
  <c r="Z10" i="36"/>
  <c r="E10" i="36"/>
  <c r="AW6" i="36"/>
  <c r="D6" i="49" s="1"/>
  <c r="H9" i="36"/>
  <c r="H129" i="36"/>
  <c r="BY163" i="36"/>
  <c r="L10" i="49" s="1"/>
  <c r="BF135" i="36"/>
  <c r="BF42" i="36"/>
  <c r="BF150" i="36"/>
  <c r="AY21" i="36"/>
  <c r="AY150" i="36"/>
  <c r="BK21" i="36"/>
  <c r="BF21" i="36"/>
  <c r="BF24" i="36"/>
  <c r="BK15" i="36"/>
  <c r="H7" i="49" s="1"/>
  <c r="BF15" i="36"/>
  <c r="BF163" i="36"/>
  <c r="AY163" i="36"/>
  <c r="AY15" i="36"/>
  <c r="AY4" i="36"/>
  <c r="AY135" i="36"/>
  <c r="AY24" i="36"/>
  <c r="AY42" i="36"/>
  <c r="CF135" i="36"/>
  <c r="N9" i="49" s="1"/>
  <c r="CF24" i="36"/>
  <c r="N13" i="49" s="1"/>
  <c r="BY42" i="36"/>
  <c r="L8" i="49" s="1"/>
  <c r="CF42" i="36"/>
  <c r="N8" i="49" s="1"/>
  <c r="BR135" i="36"/>
  <c r="J9" i="49" s="1"/>
  <c r="BM41" i="36"/>
  <c r="BR42" i="36"/>
  <c r="J8" i="49" s="1"/>
  <c r="BR150" i="36"/>
  <c r="J11" i="49" s="1"/>
  <c r="BY150" i="36"/>
  <c r="L11" i="49" s="1"/>
  <c r="CA41" i="36"/>
  <c r="J129" i="36"/>
  <c r="CH41" i="36"/>
  <c r="CF150" i="36"/>
  <c r="N11" i="49" s="1"/>
  <c r="BY135" i="36"/>
  <c r="L9" i="49" s="1"/>
  <c r="BT41" i="36"/>
  <c r="BY24" i="36"/>
  <c r="L13" i="49" s="1"/>
  <c r="L14" i="49" s="1"/>
  <c r="BR24" i="36"/>
  <c r="J13" i="49" s="1"/>
  <c r="J14" i="49" s="1"/>
  <c r="CA4" i="36"/>
  <c r="CA38" i="36" s="1"/>
  <c r="CA39" i="36" s="1"/>
  <c r="BT4" i="36"/>
  <c r="BT38" i="36" s="1"/>
  <c r="BT39" i="36" s="1"/>
  <c r="BF4" i="36"/>
  <c r="BM4" i="36"/>
  <c r="BM38" i="36" s="1"/>
  <c r="BM39" i="36" s="1"/>
  <c r="A154" i="65"/>
  <c r="A177" i="65"/>
  <c r="K6" i="63"/>
  <c r="K7" i="63"/>
  <c r="J12" i="63"/>
  <c r="L12" i="63" s="1"/>
  <c r="K15" i="63"/>
  <c r="K14" i="63"/>
  <c r="J16" i="63"/>
  <c r="L16" i="63" s="1"/>
  <c r="J8" i="63"/>
  <c r="L8" i="63" s="1"/>
  <c r="J4" i="63"/>
  <c r="L4" i="63" s="1"/>
  <c r="K11" i="63"/>
  <c r="K18" i="63"/>
  <c r="K10" i="63"/>
  <c r="J18" i="63"/>
  <c r="L18" i="63" s="1"/>
  <c r="J14" i="63"/>
  <c r="L14" i="63" s="1"/>
  <c r="J10" i="63"/>
  <c r="L10" i="63" s="1"/>
  <c r="J6" i="63"/>
  <c r="L6" i="63" s="1"/>
  <c r="K4" i="64"/>
  <c r="I3" i="63"/>
  <c r="K17" i="63"/>
  <c r="K13" i="63"/>
  <c r="K9" i="63"/>
  <c r="K5" i="63"/>
  <c r="K16" i="63"/>
  <c r="K12" i="63"/>
  <c r="K8" i="63"/>
  <c r="K4" i="63"/>
  <c r="J17" i="63"/>
  <c r="L17" i="63" s="1"/>
  <c r="J15" i="63"/>
  <c r="L15" i="63" s="1"/>
  <c r="J13" i="63"/>
  <c r="L13" i="63" s="1"/>
  <c r="J11" i="63"/>
  <c r="L11" i="63" s="1"/>
  <c r="J9" i="63"/>
  <c r="L9" i="63" s="1"/>
  <c r="J7" i="63"/>
  <c r="L7" i="63" s="1"/>
  <c r="J4" i="64"/>
  <c r="L4" i="64" s="1"/>
  <c r="J5" i="64"/>
  <c r="L5" i="64" s="1"/>
  <c r="J7" i="64"/>
  <c r="L7" i="64" s="1"/>
  <c r="J9" i="64"/>
  <c r="L9" i="64" s="1"/>
  <c r="J11" i="64"/>
  <c r="L11" i="64" s="1"/>
  <c r="J13" i="64"/>
  <c r="L13" i="64" s="1"/>
  <c r="J15" i="64"/>
  <c r="L15" i="64" s="1"/>
  <c r="J17" i="64"/>
  <c r="L17" i="64" s="1"/>
  <c r="K7" i="64"/>
  <c r="K11" i="64"/>
  <c r="K15" i="64"/>
  <c r="K6" i="64"/>
  <c r="K10" i="64"/>
  <c r="K14" i="64"/>
  <c r="K18" i="64"/>
  <c r="J6" i="64"/>
  <c r="L6" i="64" s="1"/>
  <c r="J8" i="64"/>
  <c r="L8" i="64" s="1"/>
  <c r="J10" i="64"/>
  <c r="L10" i="64" s="1"/>
  <c r="J12" i="64"/>
  <c r="L12" i="64" s="1"/>
  <c r="J14" i="64"/>
  <c r="L14" i="64" s="1"/>
  <c r="J16" i="64"/>
  <c r="L16" i="64" s="1"/>
  <c r="J18" i="64"/>
  <c r="L18" i="64" s="1"/>
  <c r="K5" i="64"/>
  <c r="K9" i="64"/>
  <c r="K13" i="64"/>
  <c r="K17" i="64"/>
  <c r="I3" i="64"/>
  <c r="K8" i="64"/>
  <c r="K12" i="64"/>
  <c r="K16" i="64"/>
  <c r="A104" i="66"/>
  <c r="A176" i="65"/>
  <c r="A151" i="61"/>
  <c r="A154" i="61" s="1"/>
  <c r="A123" i="72"/>
  <c r="A4" i="70"/>
  <c r="A5" i="70"/>
  <c r="A6" i="70"/>
  <c r="A7" i="70"/>
  <c r="A8" i="70"/>
  <c r="A9" i="70"/>
  <c r="A10" i="70"/>
  <c r="A11" i="70"/>
  <c r="A12" i="70"/>
  <c r="A13" i="70"/>
  <c r="A14" i="70"/>
  <c r="A15" i="70"/>
  <c r="A16" i="70"/>
  <c r="A17" i="70"/>
  <c r="A18" i="70"/>
  <c r="A19" i="70"/>
  <c r="A20" i="70"/>
  <c r="A21" i="70"/>
  <c r="A22" i="70"/>
  <c r="A23" i="70"/>
  <c r="A24" i="70"/>
  <c r="A25" i="70"/>
  <c r="A26" i="70"/>
  <c r="A27" i="70"/>
  <c r="A28" i="70"/>
  <c r="A29" i="70"/>
  <c r="A30" i="70"/>
  <c r="A31" i="70"/>
  <c r="A32" i="70"/>
  <c r="A33" i="70"/>
  <c r="A34" i="70"/>
  <c r="A35" i="70"/>
  <c r="A36" i="70"/>
  <c r="A37" i="70"/>
  <c r="A38" i="70"/>
  <c r="A39" i="70"/>
  <c r="A40" i="70"/>
  <c r="A41" i="70"/>
  <c r="A42" i="70"/>
  <c r="A43" i="70"/>
  <c r="A44" i="70"/>
  <c r="A45" i="70"/>
  <c r="A46" i="70"/>
  <c r="A47" i="70"/>
  <c r="A48" i="70"/>
  <c r="A49" i="70"/>
  <c r="A50" i="70"/>
  <c r="A51" i="70"/>
  <c r="A52" i="70"/>
  <c r="A53" i="70"/>
  <c r="A54" i="70"/>
  <c r="A55" i="70"/>
  <c r="A56" i="70"/>
  <c r="A57" i="70"/>
  <c r="A58" i="70"/>
  <c r="A59" i="70"/>
  <c r="A60" i="70"/>
  <c r="A61" i="70"/>
  <c r="A62" i="70"/>
  <c r="A63" i="70"/>
  <c r="A64" i="70"/>
  <c r="A65" i="70"/>
  <c r="A66" i="70"/>
  <c r="A67" i="70"/>
  <c r="A68" i="70"/>
  <c r="A69" i="70"/>
  <c r="A70" i="70"/>
  <c r="A71" i="70"/>
  <c r="A72" i="70"/>
  <c r="A73" i="70"/>
  <c r="A74" i="70"/>
  <c r="A75" i="70"/>
  <c r="A76" i="70"/>
  <c r="A77" i="70"/>
  <c r="A78" i="70"/>
  <c r="A79" i="70"/>
  <c r="A80" i="70"/>
  <c r="A81" i="70"/>
  <c r="A82" i="70"/>
  <c r="A83" i="70"/>
  <c r="A84" i="70"/>
  <c r="A85" i="70"/>
  <c r="A86" i="70"/>
  <c r="A87" i="70"/>
  <c r="A88" i="70"/>
  <c r="A89" i="70"/>
  <c r="A90" i="70"/>
  <c r="A91" i="70"/>
  <c r="A93" i="70"/>
  <c r="A95" i="70"/>
  <c r="A96" i="70"/>
  <c r="A97" i="70"/>
  <c r="A98" i="70"/>
  <c r="A99" i="70"/>
  <c r="A100" i="70"/>
  <c r="A101" i="70"/>
  <c r="A102" i="70"/>
  <c r="A103" i="70"/>
  <c r="A104" i="70"/>
  <c r="A105" i="70"/>
  <c r="A106" i="70"/>
  <c r="A107" i="70"/>
  <c r="A108" i="70"/>
  <c r="A109" i="70"/>
  <c r="A110" i="70"/>
  <c r="A111" i="70"/>
  <c r="A112" i="70"/>
  <c r="A113" i="70"/>
  <c r="A114" i="70"/>
  <c r="A115" i="70"/>
  <c r="A116" i="70"/>
  <c r="A117" i="70"/>
  <c r="A118" i="70"/>
  <c r="A124" i="70"/>
  <c r="A125" i="70"/>
  <c r="A126" i="70"/>
  <c r="A127" i="70"/>
  <c r="A128" i="70"/>
  <c r="A129" i="70"/>
  <c r="A130" i="70"/>
  <c r="A131" i="70"/>
  <c r="A132" i="70"/>
  <c r="A133" i="70"/>
  <c r="A135" i="70"/>
  <c r="A136" i="70"/>
  <c r="A137" i="70"/>
  <c r="A138" i="70"/>
  <c r="A139" i="70"/>
  <c r="A140" i="70"/>
  <c r="A141" i="70"/>
  <c r="A142" i="70"/>
  <c r="A143" i="70"/>
  <c r="A144" i="70"/>
  <c r="A145" i="70"/>
  <c r="A146" i="70"/>
  <c r="A147" i="70"/>
  <c r="A148" i="70"/>
  <c r="A149" i="70"/>
  <c r="A150" i="70"/>
  <c r="A151" i="70"/>
  <c r="A152" i="70"/>
  <c r="A153" i="70"/>
  <c r="A154" i="70"/>
  <c r="A155" i="70"/>
  <c r="A156" i="70"/>
  <c r="A157" i="70"/>
  <c r="A164" i="70"/>
  <c r="A165" i="70"/>
  <c r="A166" i="70"/>
  <c r="A168" i="70"/>
  <c r="A169" i="70"/>
  <c r="A170" i="70"/>
  <c r="A171" i="70"/>
  <c r="A172" i="70"/>
  <c r="A173" i="70"/>
  <c r="A174" i="70"/>
  <c r="A175" i="70"/>
  <c r="A176" i="70"/>
  <c r="A177" i="70"/>
  <c r="A178" i="70"/>
  <c r="A179" i="70"/>
  <c r="A180" i="70"/>
  <c r="A181" i="70"/>
  <c r="A182" i="70"/>
  <c r="A183" i="70"/>
  <c r="A184" i="70"/>
  <c r="A185" i="70"/>
  <c r="A186" i="70"/>
  <c r="A187" i="70"/>
  <c r="A188" i="70"/>
  <c r="A189" i="70"/>
  <c r="A190" i="70"/>
  <c r="A191" i="70"/>
  <c r="A192" i="70"/>
  <c r="A193" i="70"/>
  <c r="A194" i="70"/>
  <c r="A195" i="70"/>
  <c r="A196" i="70"/>
  <c r="A197" i="70"/>
  <c r="A198" i="70"/>
  <c r="A199" i="70"/>
  <c r="A200" i="70"/>
  <c r="A201" i="70"/>
  <c r="A202" i="70"/>
  <c r="A203" i="70"/>
  <c r="A204" i="70"/>
  <c r="A205" i="70"/>
  <c r="A206" i="70"/>
  <c r="A207" i="70"/>
  <c r="A208" i="70"/>
  <c r="A209" i="70"/>
  <c r="A210" i="70"/>
  <c r="A211" i="70"/>
  <c r="A212" i="70"/>
  <c r="A213" i="70"/>
  <c r="A214" i="70"/>
  <c r="A215" i="70"/>
  <c r="A216" i="70"/>
  <c r="A217" i="70"/>
  <c r="A218" i="70"/>
  <c r="A219" i="70"/>
  <c r="A220" i="70"/>
  <c r="A221" i="70"/>
  <c r="A222" i="70"/>
  <c r="A223" i="70"/>
  <c r="A224" i="70"/>
  <c r="A225" i="70"/>
  <c r="A226" i="70"/>
  <c r="A227" i="70"/>
  <c r="A228" i="70"/>
  <c r="A229" i="70"/>
  <c r="A230" i="70"/>
  <c r="A231" i="70"/>
  <c r="A232" i="70"/>
  <c r="A233" i="70"/>
  <c r="A234" i="70"/>
  <c r="A235" i="70"/>
  <c r="A236" i="70"/>
  <c r="A237" i="70"/>
  <c r="A238" i="70"/>
  <c r="A239" i="70"/>
  <c r="A240" i="70"/>
  <c r="A241" i="70"/>
  <c r="A242" i="70"/>
  <c r="A243" i="70"/>
  <c r="A244" i="70"/>
  <c r="A245" i="70"/>
  <c r="A246" i="70"/>
  <c r="A247" i="70"/>
  <c r="A248" i="70"/>
  <c r="A249" i="70"/>
  <c r="A250" i="70"/>
  <c r="A251" i="70"/>
  <c r="A252" i="70"/>
  <c r="A253" i="70"/>
  <c r="A254" i="70"/>
  <c r="A255" i="70"/>
  <c r="A256" i="70"/>
  <c r="A257" i="70"/>
  <c r="A258" i="70"/>
  <c r="A259" i="70"/>
  <c r="A260" i="70"/>
  <c r="A261" i="70"/>
  <c r="A262" i="70"/>
  <c r="A263" i="70"/>
  <c r="A264" i="70"/>
  <c r="A265" i="70"/>
  <c r="A266" i="70"/>
  <c r="A267" i="70"/>
  <c r="A268" i="70"/>
  <c r="A269" i="70"/>
  <c r="A270" i="70"/>
  <c r="A271" i="70"/>
  <c r="A272" i="70"/>
  <c r="A273" i="70"/>
  <c r="A274" i="70"/>
  <c r="A275" i="70"/>
  <c r="A276" i="70"/>
  <c r="A277" i="70"/>
  <c r="A278" i="70"/>
  <c r="A279" i="70"/>
  <c r="A280" i="70"/>
  <c r="A281" i="70"/>
  <c r="A282" i="70"/>
  <c r="A283" i="70"/>
  <c r="A284" i="70"/>
  <c r="A285" i="70"/>
  <c r="A286" i="70"/>
  <c r="A287" i="70"/>
  <c r="A288" i="70"/>
  <c r="A289" i="70"/>
  <c r="A290" i="70"/>
  <c r="A291" i="70"/>
  <c r="A292" i="70"/>
  <c r="A293" i="70"/>
  <c r="A294" i="70"/>
  <c r="A295" i="70"/>
  <c r="A296" i="70"/>
  <c r="A297" i="70"/>
  <c r="A298" i="70"/>
  <c r="A299" i="70"/>
  <c r="A300" i="70"/>
  <c r="A3" i="70"/>
  <c r="A92" i="70" s="1"/>
  <c r="D89" i="49" l="1"/>
  <c r="D88" i="49"/>
  <c r="L17" i="49"/>
  <c r="L15" i="49"/>
  <c r="J17" i="49"/>
  <c r="J15" i="49"/>
  <c r="A100" i="68"/>
  <c r="I3" i="68" s="1"/>
  <c r="A108" i="67"/>
  <c r="I3" i="67" s="1"/>
  <c r="A112" i="58"/>
  <c r="A115" i="62"/>
  <c r="A113" i="61"/>
  <c r="A114" i="61"/>
  <c r="I3" i="58"/>
  <c r="J5" i="58"/>
  <c r="L5" i="58" s="1"/>
  <c r="J6" i="58"/>
  <c r="L6" i="58" s="1"/>
  <c r="J7" i="58"/>
  <c r="L7" i="58" s="1"/>
  <c r="J8" i="58"/>
  <c r="L8" i="58" s="1"/>
  <c r="J9" i="58"/>
  <c r="L9" i="58" s="1"/>
  <c r="J10" i="58"/>
  <c r="L10" i="58" s="1"/>
  <c r="J11" i="58"/>
  <c r="L11" i="58" s="1"/>
  <c r="J12" i="58"/>
  <c r="L12" i="58" s="1"/>
  <c r="J13" i="58"/>
  <c r="L13" i="58" s="1"/>
  <c r="J14" i="58"/>
  <c r="L14" i="58" s="1"/>
  <c r="K6" i="58"/>
  <c r="K8" i="58"/>
  <c r="K10" i="58"/>
  <c r="K12" i="58"/>
  <c r="K14" i="58"/>
  <c r="K15" i="58"/>
  <c r="K16" i="58"/>
  <c r="K17" i="58"/>
  <c r="K18" i="58"/>
  <c r="J4" i="58"/>
  <c r="L4" i="58" s="1"/>
  <c r="K5" i="58"/>
  <c r="K7" i="58"/>
  <c r="K9" i="58"/>
  <c r="K11" i="58"/>
  <c r="K13" i="58"/>
  <c r="J15" i="58"/>
  <c r="L15" i="58" s="1"/>
  <c r="J16" i="58"/>
  <c r="L16" i="58" s="1"/>
  <c r="J17" i="58"/>
  <c r="L17" i="58" s="1"/>
  <c r="J18" i="58"/>
  <c r="L18" i="58" s="1"/>
  <c r="K4" i="58"/>
  <c r="L12" i="36"/>
  <c r="AU169" i="36"/>
  <c r="AX169" i="36"/>
  <c r="AU160" i="36"/>
  <c r="AX160" i="36"/>
  <c r="AU151" i="36"/>
  <c r="AX151" i="36"/>
  <c r="AU139" i="36"/>
  <c r="AX139" i="36"/>
  <c r="AS169" i="36"/>
  <c r="AQ169" i="36"/>
  <c r="AS160" i="36"/>
  <c r="AQ160" i="36"/>
  <c r="AS151" i="36"/>
  <c r="AQ151" i="36"/>
  <c r="AS139" i="36"/>
  <c r="AQ139" i="36"/>
  <c r="AQ118" i="36"/>
  <c r="AS118" i="36"/>
  <c r="Q129" i="36"/>
  <c r="O129" i="36"/>
  <c r="V16" i="36"/>
  <c r="Z16" i="36"/>
  <c r="H10" i="36"/>
  <c r="O12" i="36"/>
  <c r="L10" i="36"/>
  <c r="O10" i="36" s="1"/>
  <c r="AS11" i="36"/>
  <c r="AL10" i="36"/>
  <c r="AL11" i="36"/>
  <c r="AE10" i="36"/>
  <c r="AE11" i="36"/>
  <c r="Q10" i="36"/>
  <c r="X129" i="36"/>
  <c r="L9" i="36"/>
  <c r="O9" i="36" s="1"/>
  <c r="L11" i="36"/>
  <c r="O11" i="36" s="1"/>
  <c r="J9" i="36"/>
  <c r="E6" i="36"/>
  <c r="J6" i="36" s="1"/>
  <c r="BB9" i="36"/>
  <c r="AZ9" i="36"/>
  <c r="J10" i="36"/>
  <c r="L6" i="36"/>
  <c r="Q6" i="36" s="1"/>
  <c r="BB10" i="36"/>
  <c r="CG10" i="36" s="1"/>
  <c r="AZ10" i="36"/>
  <c r="J12" i="36"/>
  <c r="J11" i="36"/>
  <c r="A94" i="70"/>
  <c r="A119" i="70" s="1"/>
  <c r="BR41" i="36"/>
  <c r="AY41" i="36"/>
  <c r="BK163" i="36"/>
  <c r="H10" i="49" s="1"/>
  <c r="BK24" i="36"/>
  <c r="H13" i="49" s="1"/>
  <c r="H14" i="49" s="1"/>
  <c r="BF41" i="36"/>
  <c r="BK42" i="36"/>
  <c r="H8" i="49" s="1"/>
  <c r="BK150" i="36"/>
  <c r="H11" i="49" s="1"/>
  <c r="BK135" i="36"/>
  <c r="H9" i="49" s="1"/>
  <c r="CF41" i="36"/>
  <c r="BY41" i="36"/>
  <c r="M4" i="64"/>
  <c r="M4" i="63"/>
  <c r="A180" i="65"/>
  <c r="A132" i="66"/>
  <c r="A133" i="66" s="1"/>
  <c r="A158" i="61"/>
  <c r="K10" i="61" s="1"/>
  <c r="A134" i="72"/>
  <c r="A135" i="72" s="1"/>
  <c r="A120" i="70"/>
  <c r="A121" i="70"/>
  <c r="A4" i="71"/>
  <c r="A5" i="71"/>
  <c r="A6" i="71"/>
  <c r="A7" i="71"/>
  <c r="A8" i="71"/>
  <c r="A9" i="71"/>
  <c r="A10" i="71"/>
  <c r="A11" i="71"/>
  <c r="A12" i="71"/>
  <c r="A13" i="71"/>
  <c r="A14" i="71"/>
  <c r="A15" i="71"/>
  <c r="A16" i="71"/>
  <c r="A17" i="71"/>
  <c r="A18" i="71"/>
  <c r="A19" i="71"/>
  <c r="A20" i="71"/>
  <c r="A21" i="71"/>
  <c r="A22" i="71"/>
  <c r="A23" i="71"/>
  <c r="A24" i="71"/>
  <c r="A25" i="71"/>
  <c r="A26" i="71"/>
  <c r="A27" i="71"/>
  <c r="A28" i="71"/>
  <c r="A29" i="71"/>
  <c r="A30" i="71"/>
  <c r="A31" i="71"/>
  <c r="A32" i="71"/>
  <c r="A33" i="71"/>
  <c r="A34" i="71"/>
  <c r="A35" i="71"/>
  <c r="A36" i="71"/>
  <c r="A37" i="71"/>
  <c r="A38" i="71"/>
  <c r="A39" i="71"/>
  <c r="A40" i="71"/>
  <c r="A41" i="71"/>
  <c r="A42" i="71"/>
  <c r="A43" i="71"/>
  <c r="A44" i="71"/>
  <c r="A45" i="71"/>
  <c r="A46" i="71"/>
  <c r="A47" i="71"/>
  <c r="A48" i="71"/>
  <c r="A49" i="71"/>
  <c r="A50" i="71"/>
  <c r="A51" i="71"/>
  <c r="A52" i="71"/>
  <c r="A53" i="71"/>
  <c r="A54" i="71"/>
  <c r="A55" i="71"/>
  <c r="A56" i="71"/>
  <c r="A57" i="71"/>
  <c r="A58" i="71"/>
  <c r="A59" i="71"/>
  <c r="A60" i="71"/>
  <c r="A61" i="71"/>
  <c r="A63" i="71"/>
  <c r="A64" i="71"/>
  <c r="A65" i="71"/>
  <c r="A66" i="71"/>
  <c r="A67" i="71"/>
  <c r="A68" i="71"/>
  <c r="A69" i="71"/>
  <c r="A70" i="71"/>
  <c r="A71" i="71"/>
  <c r="A72" i="71"/>
  <c r="A73" i="71"/>
  <c r="A74" i="71"/>
  <c r="A75" i="71"/>
  <c r="A76" i="71"/>
  <c r="A77" i="71"/>
  <c r="A78" i="71"/>
  <c r="A79" i="71"/>
  <c r="A80" i="71"/>
  <c r="A81" i="71"/>
  <c r="A82" i="71"/>
  <c r="A83" i="71"/>
  <c r="A85" i="71"/>
  <c r="A86" i="71"/>
  <c r="A87" i="71"/>
  <c r="A89" i="71"/>
  <c r="A90" i="71"/>
  <c r="A91" i="71"/>
  <c r="A92" i="71"/>
  <c r="A93" i="71"/>
  <c r="A94" i="71"/>
  <c r="A95" i="71"/>
  <c r="A96" i="71"/>
  <c r="A97" i="71"/>
  <c r="A98" i="71"/>
  <c r="A99" i="71"/>
  <c r="A100" i="71"/>
  <c r="A101" i="71"/>
  <c r="A102" i="71"/>
  <c r="A106" i="71"/>
  <c r="A107" i="71"/>
  <c r="A108" i="71"/>
  <c r="A109" i="71"/>
  <c r="A110" i="71"/>
  <c r="A111" i="71"/>
  <c r="A112" i="71"/>
  <c r="A113" i="71"/>
  <c r="A114" i="71"/>
  <c r="A115" i="71"/>
  <c r="A116" i="71"/>
  <c r="A117" i="71"/>
  <c r="A118" i="71"/>
  <c r="A119" i="71"/>
  <c r="A120" i="71"/>
  <c r="A121" i="71"/>
  <c r="A122" i="71"/>
  <c r="A123" i="71"/>
  <c r="A124" i="71"/>
  <c r="A125" i="71"/>
  <c r="A126" i="71"/>
  <c r="A127" i="71"/>
  <c r="A128" i="71"/>
  <c r="A129" i="71"/>
  <c r="A131" i="71"/>
  <c r="A132" i="71"/>
  <c r="A133" i="71"/>
  <c r="A134" i="71"/>
  <c r="A135" i="71"/>
  <c r="A136" i="71"/>
  <c r="A137" i="71"/>
  <c r="A138" i="71"/>
  <c r="A139" i="71"/>
  <c r="A140" i="71"/>
  <c r="A141" i="71"/>
  <c r="A142" i="71"/>
  <c r="A144" i="71"/>
  <c r="A145" i="71"/>
  <c r="A146" i="71"/>
  <c r="A148" i="71"/>
  <c r="A149" i="71"/>
  <c r="A150" i="71"/>
  <c r="A151" i="71"/>
  <c r="A152" i="71"/>
  <c r="A153" i="71"/>
  <c r="A154" i="71"/>
  <c r="A155" i="71"/>
  <c r="A156" i="71"/>
  <c r="A157" i="71"/>
  <c r="A158" i="71"/>
  <c r="A159" i="71"/>
  <c r="A160" i="71"/>
  <c r="A161" i="71"/>
  <c r="A162" i="71"/>
  <c r="A163" i="71"/>
  <c r="A164" i="71"/>
  <c r="A165" i="71"/>
  <c r="A166" i="71"/>
  <c r="A167" i="71"/>
  <c r="A168" i="71"/>
  <c r="A169" i="71"/>
  <c r="A171" i="71"/>
  <c r="A173" i="71"/>
  <c r="A174" i="71"/>
  <c r="A175" i="71"/>
  <c r="A177" i="71"/>
  <c r="A178" i="71"/>
  <c r="A179" i="71"/>
  <c r="A180" i="71"/>
  <c r="A181" i="71"/>
  <c r="A182" i="71"/>
  <c r="A183" i="71"/>
  <c r="A184" i="71"/>
  <c r="A185" i="71"/>
  <c r="A186" i="71"/>
  <c r="A187" i="71"/>
  <c r="A188" i="71"/>
  <c r="A189" i="71"/>
  <c r="A190" i="71"/>
  <c r="A191" i="71"/>
  <c r="A192" i="71"/>
  <c r="A193" i="71"/>
  <c r="A194" i="71"/>
  <c r="A195" i="71"/>
  <c r="A196" i="71"/>
  <c r="A197" i="71"/>
  <c r="A198" i="71"/>
  <c r="A199" i="71"/>
  <c r="A200" i="71"/>
  <c r="A201" i="71"/>
  <c r="A202" i="71"/>
  <c r="A203" i="71"/>
  <c r="A204" i="71"/>
  <c r="A205" i="71"/>
  <c r="A206" i="71"/>
  <c r="A207" i="71"/>
  <c r="A208" i="71"/>
  <c r="A209" i="71"/>
  <c r="A210" i="71"/>
  <c r="A211" i="71"/>
  <c r="A212" i="71"/>
  <c r="A213" i="71"/>
  <c r="A214" i="71"/>
  <c r="A215" i="71"/>
  <c r="A216" i="71"/>
  <c r="A217" i="71"/>
  <c r="A218" i="71"/>
  <c r="A219" i="71"/>
  <c r="A220" i="71"/>
  <c r="A221" i="71"/>
  <c r="A222" i="71"/>
  <c r="A223" i="71"/>
  <c r="A224" i="71"/>
  <c r="A225" i="71"/>
  <c r="A226" i="71"/>
  <c r="A227" i="71"/>
  <c r="A228" i="71"/>
  <c r="A229" i="71"/>
  <c r="A230" i="71"/>
  <c r="A231" i="71"/>
  <c r="A232" i="71"/>
  <c r="A233" i="71"/>
  <c r="A234" i="71"/>
  <c r="A235" i="71"/>
  <c r="A236" i="71"/>
  <c r="A237" i="71"/>
  <c r="A238" i="71"/>
  <c r="A239" i="71"/>
  <c r="A240" i="71"/>
  <c r="A241" i="71"/>
  <c r="A242" i="71"/>
  <c r="A243" i="71"/>
  <c r="A244" i="71"/>
  <c r="A245" i="71"/>
  <c r="A246" i="71"/>
  <c r="A247" i="71"/>
  <c r="A248" i="71"/>
  <c r="A249" i="71"/>
  <c r="A250" i="71"/>
  <c r="A251" i="71"/>
  <c r="A252" i="71"/>
  <c r="A253" i="71"/>
  <c r="A254" i="71"/>
  <c r="A255" i="71"/>
  <c r="A256" i="71"/>
  <c r="A257" i="71"/>
  <c r="A258" i="71"/>
  <c r="A259" i="71"/>
  <c r="A260" i="71"/>
  <c r="A261" i="71"/>
  <c r="A262" i="71"/>
  <c r="A263" i="71"/>
  <c r="A264" i="71"/>
  <c r="A265" i="71"/>
  <c r="A266" i="71"/>
  <c r="A267" i="71"/>
  <c r="A268" i="71"/>
  <c r="A269" i="71"/>
  <c r="A270" i="71"/>
  <c r="A271" i="71"/>
  <c r="A272" i="71"/>
  <c r="A273" i="71"/>
  <c r="A274" i="71"/>
  <c r="A275" i="71"/>
  <c r="A276" i="71"/>
  <c r="A277" i="71"/>
  <c r="A278" i="71"/>
  <c r="A279" i="71"/>
  <c r="A280" i="71"/>
  <c r="A281" i="71"/>
  <c r="A282" i="71"/>
  <c r="A283" i="71"/>
  <c r="A284" i="71"/>
  <c r="A285" i="71"/>
  <c r="A286" i="71"/>
  <c r="A287" i="71"/>
  <c r="A288" i="71"/>
  <c r="A289" i="71"/>
  <c r="A290" i="71"/>
  <c r="A291" i="71"/>
  <c r="A292" i="71"/>
  <c r="A293" i="71"/>
  <c r="A294" i="71"/>
  <c r="A295" i="71"/>
  <c r="A296" i="71"/>
  <c r="A297" i="71"/>
  <c r="A298" i="71"/>
  <c r="A299" i="71"/>
  <c r="A300" i="71"/>
  <c r="A3" i="71"/>
  <c r="J65" i="49" l="1"/>
  <c r="J67" i="49" s="1"/>
  <c r="J71" i="49" s="1"/>
  <c r="L65" i="49"/>
  <c r="L67" i="49" s="1"/>
  <c r="L71" i="49" s="1"/>
  <c r="L73" i="49"/>
  <c r="J73" i="49"/>
  <c r="H17" i="49"/>
  <c r="H15" i="49"/>
  <c r="A123" i="62"/>
  <c r="A170" i="62"/>
  <c r="M4" i="58"/>
  <c r="S12" i="36"/>
  <c r="Q12" i="36"/>
  <c r="AZ169" i="36"/>
  <c r="BB169" i="36"/>
  <c r="BE169" i="36"/>
  <c r="AZ151" i="36"/>
  <c r="BB151" i="36"/>
  <c r="BE151" i="36"/>
  <c r="AZ160" i="36"/>
  <c r="BB160" i="36"/>
  <c r="BE160" i="36"/>
  <c r="AZ139" i="36"/>
  <c r="BB139" i="36"/>
  <c r="BE139" i="36"/>
  <c r="AX118" i="36"/>
  <c r="V129" i="36"/>
  <c r="AZ118" i="36"/>
  <c r="AC16" i="36"/>
  <c r="AE16" i="36"/>
  <c r="AE15" i="36" s="1"/>
  <c r="AG16" i="36"/>
  <c r="V10" i="36"/>
  <c r="AC11" i="36"/>
  <c r="V11" i="36"/>
  <c r="AC9" i="36"/>
  <c r="V9" i="36"/>
  <c r="AJ10" i="36"/>
  <c r="AC10" i="36"/>
  <c r="AQ11" i="36"/>
  <c r="AJ11" i="36"/>
  <c r="AQ9" i="36"/>
  <c r="AJ9" i="36"/>
  <c r="AX10" i="36"/>
  <c r="AQ10" i="36"/>
  <c r="BE11" i="36"/>
  <c r="AX11" i="36"/>
  <c r="BE9" i="36"/>
  <c r="AX9" i="36"/>
  <c r="BE10" i="36"/>
  <c r="BS11" i="36"/>
  <c r="BL11" i="36"/>
  <c r="BL10" i="36"/>
  <c r="BS10" i="36"/>
  <c r="CG11" i="36"/>
  <c r="BZ11" i="36"/>
  <c r="BZ10" i="36"/>
  <c r="Q11" i="36"/>
  <c r="Q9" i="36"/>
  <c r="BG10" i="36"/>
  <c r="BI9" i="36"/>
  <c r="BG9" i="36"/>
  <c r="H6" i="36"/>
  <c r="O6" i="36"/>
  <c r="BK41" i="36"/>
  <c r="A182" i="65"/>
  <c r="A160" i="66"/>
  <c r="A187" i="65"/>
  <c r="J4" i="61"/>
  <c r="L4" i="61" s="1"/>
  <c r="K4" i="61"/>
  <c r="J5" i="61"/>
  <c r="L5" i="61" s="1"/>
  <c r="K5" i="61"/>
  <c r="J18" i="61"/>
  <c r="L18" i="61" s="1"/>
  <c r="J10" i="61"/>
  <c r="L10" i="61" s="1"/>
  <c r="K17" i="61"/>
  <c r="K9" i="61"/>
  <c r="J17" i="61"/>
  <c r="L17" i="61" s="1"/>
  <c r="J9" i="61"/>
  <c r="L9" i="61" s="1"/>
  <c r="K16" i="61"/>
  <c r="K8" i="61"/>
  <c r="J16" i="61"/>
  <c r="L16" i="61" s="1"/>
  <c r="J8" i="61"/>
  <c r="L8" i="61" s="1"/>
  <c r="K15" i="61"/>
  <c r="K7" i="61"/>
  <c r="J15" i="61"/>
  <c r="L15" i="61" s="1"/>
  <c r="J7" i="61"/>
  <c r="L7" i="61" s="1"/>
  <c r="K14" i="61"/>
  <c r="K6" i="61"/>
  <c r="J14" i="61"/>
  <c r="L14" i="61" s="1"/>
  <c r="J6" i="61"/>
  <c r="L6" i="61" s="1"/>
  <c r="K13" i="61"/>
  <c r="I3" i="61"/>
  <c r="J13" i="61"/>
  <c r="L13" i="61" s="1"/>
  <c r="K12" i="61"/>
  <c r="J12" i="61"/>
  <c r="L12" i="61" s="1"/>
  <c r="K11" i="61"/>
  <c r="J11" i="61"/>
  <c r="L11" i="61" s="1"/>
  <c r="K18" i="61"/>
  <c r="A136" i="72"/>
  <c r="J17" i="72" s="1"/>
  <c r="L17" i="72" s="1"/>
  <c r="A84" i="71"/>
  <c r="A88" i="71" s="1"/>
  <c r="A104" i="71"/>
  <c r="A122" i="70"/>
  <c r="L77" i="49" l="1"/>
  <c r="L80" i="49" s="1"/>
  <c r="L87" i="49"/>
  <c r="L90" i="49" s="1"/>
  <c r="J77" i="49"/>
  <c r="J80" i="49" s="1"/>
  <c r="J87" i="49"/>
  <c r="J90" i="49" s="1"/>
  <c r="H65" i="49"/>
  <c r="H67" i="49" s="1"/>
  <c r="H71" i="49" s="1"/>
  <c r="H73" i="49"/>
  <c r="K4" i="62"/>
  <c r="J4" i="62"/>
  <c r="L4" i="62" s="1"/>
  <c r="J5" i="62"/>
  <c r="L5" i="62" s="1"/>
  <c r="K5" i="62"/>
  <c r="J6" i="62"/>
  <c r="L6" i="62" s="1"/>
  <c r="J7" i="62"/>
  <c r="L7" i="62" s="1"/>
  <c r="J8" i="62"/>
  <c r="L8" i="62" s="1"/>
  <c r="J9" i="62"/>
  <c r="L9" i="62" s="1"/>
  <c r="J10" i="62"/>
  <c r="L10" i="62" s="1"/>
  <c r="J11" i="62"/>
  <c r="L11" i="62" s="1"/>
  <c r="J12" i="62"/>
  <c r="L12" i="62" s="1"/>
  <c r="J13" i="62"/>
  <c r="L13" i="62" s="1"/>
  <c r="J14" i="62"/>
  <c r="L14" i="62" s="1"/>
  <c r="J15" i="62"/>
  <c r="L15" i="62" s="1"/>
  <c r="J16" i="62"/>
  <c r="L16" i="62" s="1"/>
  <c r="J17" i="62"/>
  <c r="L17" i="62" s="1"/>
  <c r="J18" i="62"/>
  <c r="L18" i="62" s="1"/>
  <c r="K7" i="62"/>
  <c r="K9" i="62"/>
  <c r="K11" i="62"/>
  <c r="K13" i="62"/>
  <c r="K15" i="62"/>
  <c r="K17" i="62"/>
  <c r="K6" i="62"/>
  <c r="K8" i="62"/>
  <c r="K10" i="62"/>
  <c r="K12" i="62"/>
  <c r="K14" i="62"/>
  <c r="K16" i="62"/>
  <c r="K18" i="62"/>
  <c r="I3" i="62"/>
  <c r="Z12" i="36"/>
  <c r="V12" i="36"/>
  <c r="AC12" i="36"/>
  <c r="X12" i="36"/>
  <c r="S6" i="36"/>
  <c r="X6" i="36" s="1"/>
  <c r="BL9" i="36"/>
  <c r="BG169" i="36"/>
  <c r="BI169" i="36"/>
  <c r="BL169" i="36"/>
  <c r="BG160" i="36"/>
  <c r="BI160" i="36"/>
  <c r="BL160" i="36"/>
  <c r="BG151" i="36"/>
  <c r="BI151" i="36"/>
  <c r="BL151" i="36"/>
  <c r="BG139" i="36"/>
  <c r="BI139" i="36"/>
  <c r="BL139" i="36"/>
  <c r="BE118" i="36"/>
  <c r="AC129" i="36"/>
  <c r="BI118" i="36"/>
  <c r="BG118" i="36"/>
  <c r="AJ16" i="36"/>
  <c r="AL16" i="36"/>
  <c r="AL15" i="36" s="1"/>
  <c r="AN16" i="36"/>
  <c r="AE129" i="36"/>
  <c r="V6" i="36"/>
  <c r="BP9" i="36"/>
  <c r="BN9" i="36"/>
  <c r="A123" i="70"/>
  <c r="A103" i="71"/>
  <c r="AW21" i="36"/>
  <c r="AW15" i="36"/>
  <c r="D7" i="49" s="1"/>
  <c r="BD15" i="36"/>
  <c r="BD21" i="36"/>
  <c r="BF181" i="36"/>
  <c r="E84" i="36"/>
  <c r="L84" i="36" s="1"/>
  <c r="S84" i="36" s="1"/>
  <c r="Z84" i="36" s="1"/>
  <c r="AG84" i="36" s="1"/>
  <c r="AN84" i="36" s="1"/>
  <c r="AU84" i="36" s="1"/>
  <c r="BB84" i="36" s="1"/>
  <c r="E166" i="36"/>
  <c r="E68" i="36"/>
  <c r="L68" i="36" s="1"/>
  <c r="S68" i="36" s="1"/>
  <c r="Z68" i="36" s="1"/>
  <c r="AG68" i="36" s="1"/>
  <c r="AN68" i="36" s="1"/>
  <c r="AU68" i="36" s="1"/>
  <c r="BB68" i="36" s="1"/>
  <c r="E64" i="36"/>
  <c r="L64" i="36" s="1"/>
  <c r="S64" i="36" s="1"/>
  <c r="Z64" i="36" s="1"/>
  <c r="AG64" i="36" s="1"/>
  <c r="AN64" i="36" s="1"/>
  <c r="AU64" i="36" s="1"/>
  <c r="BB64" i="36" s="1"/>
  <c r="E55" i="36"/>
  <c r="L55" i="36" s="1"/>
  <c r="S55" i="36" s="1"/>
  <c r="Z55" i="36" s="1"/>
  <c r="AG55" i="36" s="1"/>
  <c r="AN55" i="36" s="1"/>
  <c r="AU55" i="36" s="1"/>
  <c r="BB55" i="36" s="1"/>
  <c r="E58" i="36"/>
  <c r="L58" i="36" s="1"/>
  <c r="S58" i="36" s="1"/>
  <c r="Z58" i="36" s="1"/>
  <c r="AG58" i="36" s="1"/>
  <c r="AN58" i="36" s="1"/>
  <c r="AU58" i="36" s="1"/>
  <c r="BB58" i="36" s="1"/>
  <c r="BM181" i="36"/>
  <c r="E81" i="36"/>
  <c r="L81" i="36" s="1"/>
  <c r="S81" i="36" s="1"/>
  <c r="Z81" i="36" s="1"/>
  <c r="AG81" i="36" s="1"/>
  <c r="AN81" i="36" s="1"/>
  <c r="AU81" i="36" s="1"/>
  <c r="BB81" i="36" s="1"/>
  <c r="E91" i="36"/>
  <c r="L91" i="36" s="1"/>
  <c r="S91" i="36" s="1"/>
  <c r="Z91" i="36" s="1"/>
  <c r="AG91" i="36" s="1"/>
  <c r="AN91" i="36" s="1"/>
  <c r="AU91" i="36" s="1"/>
  <c r="BB91" i="36" s="1"/>
  <c r="E153" i="36"/>
  <c r="E103" i="36"/>
  <c r="L103" i="36" s="1"/>
  <c r="S103" i="36" s="1"/>
  <c r="Z103" i="36" s="1"/>
  <c r="AG103" i="36" s="1"/>
  <c r="AN103" i="36" s="1"/>
  <c r="AU103" i="36" s="1"/>
  <c r="BB103" i="36" s="1"/>
  <c r="E110" i="36"/>
  <c r="L110" i="36" s="1"/>
  <c r="S110" i="36" s="1"/>
  <c r="Z110" i="36" s="1"/>
  <c r="AG110" i="36" s="1"/>
  <c r="AN110" i="36" s="1"/>
  <c r="AU110" i="36" s="1"/>
  <c r="BB110" i="36" s="1"/>
  <c r="E145" i="36"/>
  <c r="E102" i="36"/>
  <c r="L102" i="36" s="1"/>
  <c r="S102" i="36" s="1"/>
  <c r="Z102" i="36" s="1"/>
  <c r="AG102" i="36" s="1"/>
  <c r="AN102" i="36" s="1"/>
  <c r="AU102" i="36" s="1"/>
  <c r="BB102" i="36" s="1"/>
  <c r="E146" i="36"/>
  <c r="E95" i="36"/>
  <c r="L95" i="36" s="1"/>
  <c r="S95" i="36" s="1"/>
  <c r="Z95" i="36" s="1"/>
  <c r="AG95" i="36" s="1"/>
  <c r="AN95" i="36" s="1"/>
  <c r="AU95" i="36" s="1"/>
  <c r="BB95" i="36" s="1"/>
  <c r="E138" i="36"/>
  <c r="E96" i="36"/>
  <c r="L96" i="36" s="1"/>
  <c r="S96" i="36" s="1"/>
  <c r="Z96" i="36" s="1"/>
  <c r="AG96" i="36" s="1"/>
  <c r="AN96" i="36" s="1"/>
  <c r="AU96" i="36" s="1"/>
  <c r="BB96" i="36" s="1"/>
  <c r="E161" i="36"/>
  <c r="E133" i="36"/>
  <c r="L133" i="36" s="1"/>
  <c r="S133" i="36" s="1"/>
  <c r="Z133" i="36" s="1"/>
  <c r="AG133" i="36" s="1"/>
  <c r="AN133" i="36" s="1"/>
  <c r="AU133" i="36" s="1"/>
  <c r="BB133" i="36" s="1"/>
  <c r="L25" i="36"/>
  <c r="E82" i="36"/>
  <c r="L82" i="36" s="1"/>
  <c r="S82" i="36" s="1"/>
  <c r="Z82" i="36" s="1"/>
  <c r="AG82" i="36" s="1"/>
  <c r="AN82" i="36" s="1"/>
  <c r="AU82" i="36" s="1"/>
  <c r="BB82" i="36" s="1"/>
  <c r="E123" i="36"/>
  <c r="L123" i="36" s="1"/>
  <c r="S123" i="36" s="1"/>
  <c r="Z123" i="36" s="1"/>
  <c r="AG123" i="36" s="1"/>
  <c r="AN123" i="36" s="1"/>
  <c r="AU123" i="36" s="1"/>
  <c r="BB123" i="36" s="1"/>
  <c r="E124" i="36"/>
  <c r="L124" i="36" s="1"/>
  <c r="S124" i="36" s="1"/>
  <c r="Z124" i="36" s="1"/>
  <c r="AG124" i="36" s="1"/>
  <c r="AN124" i="36" s="1"/>
  <c r="AU124" i="36" s="1"/>
  <c r="BB124" i="36" s="1"/>
  <c r="E114" i="36"/>
  <c r="L114" i="36" s="1"/>
  <c r="S114" i="36" s="1"/>
  <c r="Z114" i="36" s="1"/>
  <c r="AG114" i="36" s="1"/>
  <c r="AN114" i="36" s="1"/>
  <c r="AU114" i="36" s="1"/>
  <c r="BB114" i="36" s="1"/>
  <c r="E137" i="36"/>
  <c r="E51" i="36"/>
  <c r="L51" i="36" s="1"/>
  <c r="S51" i="36" s="1"/>
  <c r="Z51" i="36" s="1"/>
  <c r="AG51" i="36" s="1"/>
  <c r="AN51" i="36" s="1"/>
  <c r="AU51" i="36" s="1"/>
  <c r="BB51" i="36" s="1"/>
  <c r="E132" i="36"/>
  <c r="L132" i="36" s="1"/>
  <c r="S132" i="36" s="1"/>
  <c r="Z132" i="36" s="1"/>
  <c r="AG132" i="36" s="1"/>
  <c r="AN132" i="36" s="1"/>
  <c r="AU132" i="36" s="1"/>
  <c r="BT181" i="36"/>
  <c r="E70" i="36"/>
  <c r="L70" i="36" s="1"/>
  <c r="S70" i="36" s="1"/>
  <c r="Z70" i="36" s="1"/>
  <c r="AG70" i="36" s="1"/>
  <c r="AN70" i="36" s="1"/>
  <c r="AU70" i="36" s="1"/>
  <c r="BB70" i="36" s="1"/>
  <c r="E61" i="36"/>
  <c r="L61" i="36" s="1"/>
  <c r="S61" i="36" s="1"/>
  <c r="Z61" i="36" s="1"/>
  <c r="AG61" i="36" s="1"/>
  <c r="AN61" i="36" s="1"/>
  <c r="AU61" i="36" s="1"/>
  <c r="BB61" i="36" s="1"/>
  <c r="E101" i="36"/>
  <c r="L101" i="36" s="1"/>
  <c r="S101" i="36" s="1"/>
  <c r="Z101" i="36" s="1"/>
  <c r="AG101" i="36" s="1"/>
  <c r="AN101" i="36" s="1"/>
  <c r="AU101" i="36" s="1"/>
  <c r="BB101" i="36" s="1"/>
  <c r="E120" i="36"/>
  <c r="L120" i="36" s="1"/>
  <c r="S120" i="36" s="1"/>
  <c r="Z120" i="36" s="1"/>
  <c r="AG120" i="36" s="1"/>
  <c r="AN120" i="36" s="1"/>
  <c r="AU120" i="36" s="1"/>
  <c r="BB120" i="36" s="1"/>
  <c r="E154" i="36"/>
  <c r="E113" i="36"/>
  <c r="L113" i="36" s="1"/>
  <c r="S113" i="36" s="1"/>
  <c r="Z113" i="36" s="1"/>
  <c r="AG113" i="36" s="1"/>
  <c r="AN113" i="36" s="1"/>
  <c r="AU113" i="36" s="1"/>
  <c r="BB113" i="36" s="1"/>
  <c r="E112" i="36"/>
  <c r="L112" i="36" s="1"/>
  <c r="S112" i="36" s="1"/>
  <c r="Z112" i="36" s="1"/>
  <c r="AG112" i="36" s="1"/>
  <c r="AN112" i="36" s="1"/>
  <c r="AU112" i="36" s="1"/>
  <c r="BB112" i="36" s="1"/>
  <c r="E76" i="36"/>
  <c r="L76" i="36" s="1"/>
  <c r="S76" i="36" s="1"/>
  <c r="Z76" i="36" s="1"/>
  <c r="AG76" i="36" s="1"/>
  <c r="AN76" i="36" s="1"/>
  <c r="AU76" i="36" s="1"/>
  <c r="BB76" i="36" s="1"/>
  <c r="E147" i="36"/>
  <c r="E167" i="36"/>
  <c r="E86" i="36"/>
  <c r="L86" i="36" s="1"/>
  <c r="S86" i="36" s="1"/>
  <c r="Z86" i="36" s="1"/>
  <c r="AG86" i="36" s="1"/>
  <c r="AN86" i="36" s="1"/>
  <c r="AU86" i="36" s="1"/>
  <c r="BB86" i="36" s="1"/>
  <c r="E75" i="36"/>
  <c r="L75" i="36" s="1"/>
  <c r="S75" i="36" s="1"/>
  <c r="Z75" i="36" s="1"/>
  <c r="AG75" i="36" s="1"/>
  <c r="AN75" i="36" s="1"/>
  <c r="AU75" i="36" s="1"/>
  <c r="BB75" i="36" s="1"/>
  <c r="E106" i="36"/>
  <c r="L106" i="36" s="1"/>
  <c r="S106" i="36" s="1"/>
  <c r="Z106" i="36" s="1"/>
  <c r="AG106" i="36" s="1"/>
  <c r="AN106" i="36" s="1"/>
  <c r="AU106" i="36" s="1"/>
  <c r="BB106" i="36" s="1"/>
  <c r="E67" i="36"/>
  <c r="L67" i="36" s="1"/>
  <c r="S67" i="36" s="1"/>
  <c r="Z67" i="36" s="1"/>
  <c r="AG67" i="36" s="1"/>
  <c r="AN67" i="36" s="1"/>
  <c r="AU67" i="36" s="1"/>
  <c r="BB67" i="36" s="1"/>
  <c r="E122" i="36"/>
  <c r="L122" i="36" s="1"/>
  <c r="S122" i="36" s="1"/>
  <c r="Z122" i="36" s="1"/>
  <c r="AG122" i="36" s="1"/>
  <c r="AN122" i="36" s="1"/>
  <c r="AU122" i="36" s="1"/>
  <c r="BB122" i="36" s="1"/>
  <c r="E158" i="36"/>
  <c r="E92" i="36"/>
  <c r="L92" i="36" s="1"/>
  <c r="S92" i="36" s="1"/>
  <c r="Z92" i="36" s="1"/>
  <c r="AG92" i="36" s="1"/>
  <c r="AN92" i="36" s="1"/>
  <c r="AU92" i="36" s="1"/>
  <c r="BB92" i="36" s="1"/>
  <c r="E78" i="36"/>
  <c r="L78" i="36" s="1"/>
  <c r="S78" i="36" s="1"/>
  <c r="Z78" i="36" s="1"/>
  <c r="AG78" i="36" s="1"/>
  <c r="AN78" i="36" s="1"/>
  <c r="AU78" i="36" s="1"/>
  <c r="BB78" i="36" s="1"/>
  <c r="E165" i="36"/>
  <c r="E116" i="36"/>
  <c r="L116" i="36" s="1"/>
  <c r="S116" i="36" s="1"/>
  <c r="Z116" i="36" s="1"/>
  <c r="AG116" i="36" s="1"/>
  <c r="AN116" i="36" s="1"/>
  <c r="AU116" i="36" s="1"/>
  <c r="BB116" i="36" s="1"/>
  <c r="E65" i="36"/>
  <c r="L65" i="36" s="1"/>
  <c r="S65" i="36" s="1"/>
  <c r="Z65" i="36" s="1"/>
  <c r="AG65" i="36" s="1"/>
  <c r="AN65" i="36" s="1"/>
  <c r="AU65" i="36" s="1"/>
  <c r="BB65" i="36" s="1"/>
  <c r="E63" i="36"/>
  <c r="L63" i="36" s="1"/>
  <c r="S63" i="36" s="1"/>
  <c r="Z63" i="36" s="1"/>
  <c r="AG63" i="36" s="1"/>
  <c r="AN63" i="36" s="1"/>
  <c r="AU63" i="36" s="1"/>
  <c r="BB63" i="36" s="1"/>
  <c r="E100" i="36"/>
  <c r="L100" i="36" s="1"/>
  <c r="S100" i="36" s="1"/>
  <c r="Z100" i="36" s="1"/>
  <c r="AG100" i="36" s="1"/>
  <c r="AN100" i="36" s="1"/>
  <c r="AU100" i="36" s="1"/>
  <c r="BB100" i="36" s="1"/>
  <c r="E62" i="36"/>
  <c r="L62" i="36" s="1"/>
  <c r="S62" i="36" s="1"/>
  <c r="Z62" i="36" s="1"/>
  <c r="AG62" i="36" s="1"/>
  <c r="AN62" i="36" s="1"/>
  <c r="AU62" i="36" s="1"/>
  <c r="BB62" i="36" s="1"/>
  <c r="E144" i="36"/>
  <c r="E127" i="36"/>
  <c r="L127" i="36" s="1"/>
  <c r="S127" i="36" s="1"/>
  <c r="Z127" i="36" s="1"/>
  <c r="AG127" i="36" s="1"/>
  <c r="AN127" i="36" s="1"/>
  <c r="AU127" i="36" s="1"/>
  <c r="BB127" i="36" s="1"/>
  <c r="E93" i="36"/>
  <c r="L93" i="36" s="1"/>
  <c r="S93" i="36" s="1"/>
  <c r="Z93" i="36" s="1"/>
  <c r="AG93" i="36" s="1"/>
  <c r="AN93" i="36" s="1"/>
  <c r="AU93" i="36" s="1"/>
  <c r="BB93" i="36" s="1"/>
  <c r="E56" i="36"/>
  <c r="L56" i="36" s="1"/>
  <c r="S56" i="36" s="1"/>
  <c r="Z56" i="36" s="1"/>
  <c r="AG56" i="36" s="1"/>
  <c r="AN56" i="36" s="1"/>
  <c r="AU56" i="36" s="1"/>
  <c r="BB56" i="36" s="1"/>
  <c r="E148" i="36"/>
  <c r="E98" i="36"/>
  <c r="L98" i="36" s="1"/>
  <c r="S98" i="36" s="1"/>
  <c r="Z98" i="36" s="1"/>
  <c r="AG98" i="36" s="1"/>
  <c r="AN98" i="36" s="1"/>
  <c r="AU98" i="36" s="1"/>
  <c r="BB98" i="36" s="1"/>
  <c r="E111" i="36"/>
  <c r="L111" i="36" s="1"/>
  <c r="S111" i="36" s="1"/>
  <c r="Z111" i="36" s="1"/>
  <c r="AG111" i="36" s="1"/>
  <c r="AN111" i="36" s="1"/>
  <c r="AU111" i="36" s="1"/>
  <c r="BB111" i="36" s="1"/>
  <c r="E125" i="36"/>
  <c r="L125" i="36" s="1"/>
  <c r="S125" i="36" s="1"/>
  <c r="Z125" i="36" s="1"/>
  <c r="AG125" i="36" s="1"/>
  <c r="AN125" i="36" s="1"/>
  <c r="AU125" i="36" s="1"/>
  <c r="BB125" i="36" s="1"/>
  <c r="E155" i="36"/>
  <c r="E126" i="36"/>
  <c r="L126" i="36" s="1"/>
  <c r="S126" i="36" s="1"/>
  <c r="Z126" i="36" s="1"/>
  <c r="AG126" i="36" s="1"/>
  <c r="AN126" i="36" s="1"/>
  <c r="AU126" i="36" s="1"/>
  <c r="BB126" i="36" s="1"/>
  <c r="E119" i="36"/>
  <c r="L119" i="36" s="1"/>
  <c r="S119" i="36" s="1"/>
  <c r="Z119" i="36" s="1"/>
  <c r="AG119" i="36" s="1"/>
  <c r="AN119" i="36" s="1"/>
  <c r="AU119" i="36" s="1"/>
  <c r="BB119" i="36" s="1"/>
  <c r="E59" i="36"/>
  <c r="L59" i="36" s="1"/>
  <c r="S59" i="36" s="1"/>
  <c r="Z59" i="36" s="1"/>
  <c r="AG59" i="36" s="1"/>
  <c r="AN59" i="36" s="1"/>
  <c r="AU59" i="36" s="1"/>
  <c r="BB59" i="36" s="1"/>
  <c r="E60" i="36"/>
  <c r="L60" i="36" s="1"/>
  <c r="S60" i="36" s="1"/>
  <c r="Z60" i="36" s="1"/>
  <c r="AG60" i="36" s="1"/>
  <c r="AN60" i="36" s="1"/>
  <c r="AU60" i="36" s="1"/>
  <c r="BB60" i="36" s="1"/>
  <c r="E143" i="36"/>
  <c r="E164" i="36"/>
  <c r="E94" i="36"/>
  <c r="L94" i="36" s="1"/>
  <c r="S94" i="36" s="1"/>
  <c r="Z94" i="36" s="1"/>
  <c r="AG94" i="36" s="1"/>
  <c r="AN94" i="36" s="1"/>
  <c r="AU94" i="36" s="1"/>
  <c r="BB94" i="36" s="1"/>
  <c r="E80" i="36"/>
  <c r="L80" i="36" s="1"/>
  <c r="S80" i="36" s="1"/>
  <c r="Z80" i="36" s="1"/>
  <c r="AG80" i="36" s="1"/>
  <c r="AN80" i="36" s="1"/>
  <c r="AU80" i="36" s="1"/>
  <c r="BB80" i="36" s="1"/>
  <c r="E69" i="36"/>
  <c r="L69" i="36" s="1"/>
  <c r="S69" i="36" s="1"/>
  <c r="Z69" i="36" s="1"/>
  <c r="AG69" i="36" s="1"/>
  <c r="AN69" i="36" s="1"/>
  <c r="AU69" i="36" s="1"/>
  <c r="BB69" i="36" s="1"/>
  <c r="E142" i="36"/>
  <c r="E168" i="36"/>
  <c r="E57" i="36"/>
  <c r="L57" i="36" s="1"/>
  <c r="S57" i="36" s="1"/>
  <c r="Z57" i="36" s="1"/>
  <c r="AG57" i="36" s="1"/>
  <c r="AN57" i="36" s="1"/>
  <c r="AU57" i="36" s="1"/>
  <c r="BB57" i="36" s="1"/>
  <c r="E141" i="36"/>
  <c r="BY4" i="36"/>
  <c r="BY38" i="36" s="1"/>
  <c r="BY39" i="36" s="1"/>
  <c r="AY181" i="36"/>
  <c r="E115" i="36"/>
  <c r="L115" i="36" s="1"/>
  <c r="S115" i="36" s="1"/>
  <c r="Z115" i="36" s="1"/>
  <c r="AG115" i="36" s="1"/>
  <c r="AN115" i="36" s="1"/>
  <c r="AU115" i="36" s="1"/>
  <c r="BB115" i="36" s="1"/>
  <c r="E130" i="36"/>
  <c r="L130" i="36" s="1"/>
  <c r="S130" i="36" s="1"/>
  <c r="Z130" i="36" s="1"/>
  <c r="AG130" i="36" s="1"/>
  <c r="AN130" i="36" s="1"/>
  <c r="AU130" i="36" s="1"/>
  <c r="BB130" i="36" s="1"/>
  <c r="E50" i="36"/>
  <c r="CA181" i="36"/>
  <c r="E72" i="36"/>
  <c r="L72" i="36" s="1"/>
  <c r="S72" i="36" s="1"/>
  <c r="Z72" i="36" s="1"/>
  <c r="AG72" i="36" s="1"/>
  <c r="AN72" i="36" s="1"/>
  <c r="AU72" i="36" s="1"/>
  <c r="BB72" i="36" s="1"/>
  <c r="BR4" i="36"/>
  <c r="BR38" i="36" s="1"/>
  <c r="BR39" i="36" s="1"/>
  <c r="E73" i="36"/>
  <c r="L73" i="36" s="1"/>
  <c r="S73" i="36" s="1"/>
  <c r="Z73" i="36" s="1"/>
  <c r="AG73" i="36" s="1"/>
  <c r="AN73" i="36" s="1"/>
  <c r="AU73" i="36" s="1"/>
  <c r="BB73" i="36" s="1"/>
  <c r="E152" i="36"/>
  <c r="E104" i="36"/>
  <c r="L104" i="36" s="1"/>
  <c r="S104" i="36" s="1"/>
  <c r="Z104" i="36" s="1"/>
  <c r="AG104" i="36" s="1"/>
  <c r="AN104" i="36" s="1"/>
  <c r="AU104" i="36" s="1"/>
  <c r="BB104" i="36" s="1"/>
  <c r="E128" i="36"/>
  <c r="L128" i="36" s="1"/>
  <c r="S128" i="36" s="1"/>
  <c r="Z128" i="36" s="1"/>
  <c r="AG128" i="36" s="1"/>
  <c r="AN128" i="36" s="1"/>
  <c r="AU128" i="36" s="1"/>
  <c r="BB128" i="36" s="1"/>
  <c r="A198" i="65"/>
  <c r="J14" i="65" s="1"/>
  <c r="L14" i="65" s="1"/>
  <c r="A182" i="66"/>
  <c r="A183" i="66" s="1"/>
  <c r="M4" i="61"/>
  <c r="J4" i="72"/>
  <c r="L4" i="72" s="1"/>
  <c r="K5" i="72"/>
  <c r="J5" i="72"/>
  <c r="L5" i="72" s="1"/>
  <c r="K4" i="72"/>
  <c r="J6" i="72"/>
  <c r="L6" i="72" s="1"/>
  <c r="K6" i="72"/>
  <c r="J9" i="72"/>
  <c r="L9" i="72" s="1"/>
  <c r="K13" i="72"/>
  <c r="J16" i="72"/>
  <c r="L16" i="72" s="1"/>
  <c r="J8" i="72"/>
  <c r="L8" i="72" s="1"/>
  <c r="K12" i="72"/>
  <c r="J15" i="72"/>
  <c r="L15" i="72" s="1"/>
  <c r="J7" i="72"/>
  <c r="L7" i="72" s="1"/>
  <c r="K15" i="72"/>
  <c r="K7" i="72"/>
  <c r="J14" i="72"/>
  <c r="L14" i="72" s="1"/>
  <c r="K14" i="72"/>
  <c r="J13" i="72"/>
  <c r="L13" i="72" s="1"/>
  <c r="K17" i="72"/>
  <c r="K9" i="72"/>
  <c r="J12" i="72"/>
  <c r="L12" i="72" s="1"/>
  <c r="K16" i="72"/>
  <c r="K8" i="72"/>
  <c r="J11" i="72"/>
  <c r="L11" i="72" s="1"/>
  <c r="I3" i="72"/>
  <c r="K11" i="72"/>
  <c r="J18" i="72"/>
  <c r="L18" i="72" s="1"/>
  <c r="J10" i="72"/>
  <c r="L10" i="72" s="1"/>
  <c r="K18" i="72"/>
  <c r="K10" i="72"/>
  <c r="A134" i="70"/>
  <c r="A105" i="71"/>
  <c r="I73" i="36"/>
  <c r="N73" i="36" s="1"/>
  <c r="U72" i="36"/>
  <c r="AP51" i="36"/>
  <c r="AP61" i="36"/>
  <c r="AI76" i="36"/>
  <c r="AI70" i="36"/>
  <c r="AB102" i="36"/>
  <c r="U96" i="36"/>
  <c r="U102" i="36"/>
  <c r="I60" i="36"/>
  <c r="N60" i="36" s="1"/>
  <c r="AP69" i="36"/>
  <c r="AI56" i="36"/>
  <c r="AI59" i="36"/>
  <c r="AP127" i="36"/>
  <c r="AI107" i="36"/>
  <c r="AL107" i="36" s="1"/>
  <c r="AB77" i="36"/>
  <c r="AE77" i="36" s="1"/>
  <c r="AI122" i="36"/>
  <c r="U130" i="36"/>
  <c r="I85" i="36"/>
  <c r="N85" i="36" s="1"/>
  <c r="Q85" i="36" s="1"/>
  <c r="AP80" i="36"/>
  <c r="AI91" i="36"/>
  <c r="AB47" i="36"/>
  <c r="AE47" i="36" s="1"/>
  <c r="AW106" i="36"/>
  <c r="I77" i="36"/>
  <c r="N77" i="36" s="1"/>
  <c r="Q77" i="36" s="1"/>
  <c r="AP48" i="36"/>
  <c r="AS48" i="36" s="1"/>
  <c r="I16" i="36"/>
  <c r="N16" i="36" s="1"/>
  <c r="Q16" i="36" s="1"/>
  <c r="AI47" i="36"/>
  <c r="AL47" i="36" s="1"/>
  <c r="AW114" i="36"/>
  <c r="AB86" i="36"/>
  <c r="U97" i="36"/>
  <c r="X97" i="36" s="1"/>
  <c r="AP64" i="36"/>
  <c r="AW88" i="36"/>
  <c r="AZ88" i="36" s="1"/>
  <c r="AP113" i="36"/>
  <c r="U87" i="36"/>
  <c r="X87" i="36" s="1"/>
  <c r="I44" i="36"/>
  <c r="N44" i="36" s="1"/>
  <c r="Q44" i="36" s="1"/>
  <c r="AW43" i="36"/>
  <c r="AZ43" i="36" s="1"/>
  <c r="AW117" i="36"/>
  <c r="AB119" i="36"/>
  <c r="I76" i="36"/>
  <c r="N76" i="36" s="1"/>
  <c r="AI120" i="36"/>
  <c r="I106" i="36"/>
  <c r="N106" i="36" s="1"/>
  <c r="I128" i="36"/>
  <c r="N128" i="36" s="1"/>
  <c r="AB104" i="36"/>
  <c r="U104" i="36"/>
  <c r="I119" i="36"/>
  <c r="N119" i="36" s="1"/>
  <c r="AI73" i="36"/>
  <c r="AP50" i="36"/>
  <c r="AP119" i="36"/>
  <c r="AP78" i="36"/>
  <c r="I115" i="36"/>
  <c r="N115" i="36" s="1"/>
  <c r="AP96" i="36"/>
  <c r="AI110" i="36"/>
  <c r="AB64" i="36"/>
  <c r="U59" i="36"/>
  <c r="AW48" i="36"/>
  <c r="AZ48" i="36" s="1"/>
  <c r="U64" i="36"/>
  <c r="I148" i="36"/>
  <c r="N148" i="36" s="1"/>
  <c r="AK25" i="36"/>
  <c r="AI25" i="36" s="1"/>
  <c r="U73" i="36"/>
  <c r="AI60" i="36"/>
  <c r="AI68" i="36"/>
  <c r="AB100" i="36"/>
  <c r="U89" i="36"/>
  <c r="X89" i="36" s="1"/>
  <c r="I46" i="36"/>
  <c r="N46" i="36" s="1"/>
  <c r="Q46" i="36" s="1"/>
  <c r="AP93" i="36"/>
  <c r="AI46" i="36"/>
  <c r="AL46" i="36" s="1"/>
  <c r="AB44" i="36"/>
  <c r="AE44" i="36" s="1"/>
  <c r="I132" i="36"/>
  <c r="N132" i="36" s="1"/>
  <c r="AW59" i="36"/>
  <c r="U82" i="36"/>
  <c r="AP103" i="36"/>
  <c r="AB71" i="36"/>
  <c r="AE71" i="36" s="1"/>
  <c r="AI101" i="36"/>
  <c r="U91" i="36"/>
  <c r="AP84" i="36"/>
  <c r="AB101" i="36"/>
  <c r="U48" i="36"/>
  <c r="X48" i="36" s="1"/>
  <c r="I84" i="36"/>
  <c r="N84" i="36" s="1"/>
  <c r="I107" i="36"/>
  <c r="N107" i="36" s="1"/>
  <c r="Q107" i="36" s="1"/>
  <c r="I80" i="36"/>
  <c r="N80" i="36" s="1"/>
  <c r="AB90" i="36"/>
  <c r="AE90" i="36" s="1"/>
  <c r="I67" i="36"/>
  <c r="N67" i="36" s="1"/>
  <c r="AP63" i="36"/>
  <c r="AP65" i="36"/>
  <c r="AI63" i="36"/>
  <c r="U94" i="36"/>
  <c r="AI113" i="36"/>
  <c r="U54" i="36"/>
  <c r="X54" i="36" s="1"/>
  <c r="N19" i="36"/>
  <c r="AP120" i="36"/>
  <c r="U67" i="36"/>
  <c r="I25" i="36"/>
  <c r="AW98" i="36"/>
  <c r="AW113" i="36"/>
  <c r="I112" i="36"/>
  <c r="N112" i="36" s="1"/>
  <c r="AI83" i="36"/>
  <c r="AL83" i="36" s="1"/>
  <c r="I117" i="36"/>
  <c r="N117" i="36" s="1"/>
  <c r="U132" i="36"/>
  <c r="I110" i="36"/>
  <c r="N110" i="36" s="1"/>
  <c r="AW63" i="36"/>
  <c r="AW51" i="36"/>
  <c r="AW56" i="36"/>
  <c r="AB60" i="36"/>
  <c r="U55" i="36"/>
  <c r="AW91" i="36"/>
  <c r="AW132" i="36"/>
  <c r="AB92" i="36"/>
  <c r="I63" i="36"/>
  <c r="N63" i="36" s="1"/>
  <c r="AW109" i="36"/>
  <c r="AZ109" i="36" s="1"/>
  <c r="AW103" i="36"/>
  <c r="U109" i="36"/>
  <c r="X109" i="36" s="1"/>
  <c r="I91" i="36"/>
  <c r="N91" i="36" s="1"/>
  <c r="AW121" i="36"/>
  <c r="AZ121" i="36" s="1"/>
  <c r="AW70" i="36"/>
  <c r="I121" i="36"/>
  <c r="N121" i="36" s="1"/>
  <c r="Q121" i="36" s="1"/>
  <c r="AI80" i="36"/>
  <c r="AB122" i="36"/>
  <c r="AB116" i="36"/>
  <c r="I144" i="36"/>
  <c r="N144" i="36" s="1"/>
  <c r="I87" i="36"/>
  <c r="N87" i="36" s="1"/>
  <c r="Q87" i="36" s="1"/>
  <c r="I147" i="36"/>
  <c r="N147" i="36" s="1"/>
  <c r="AI109" i="36"/>
  <c r="AL109" i="36" s="1"/>
  <c r="AB69" i="36"/>
  <c r="U63" i="36"/>
  <c r="AW44" i="36"/>
  <c r="AZ44" i="36" s="1"/>
  <c r="AP70" i="36"/>
  <c r="AB112" i="36"/>
  <c r="AW68" i="36"/>
  <c r="AP81" i="36"/>
  <c r="AB128" i="36"/>
  <c r="I164" i="36"/>
  <c r="N164" i="36" s="1"/>
  <c r="AW128" i="36"/>
  <c r="I126" i="36"/>
  <c r="N126" i="36" s="1"/>
  <c r="AW72" i="36"/>
  <c r="U126" i="36"/>
  <c r="AP126" i="36"/>
  <c r="U115" i="36"/>
  <c r="I102" i="36"/>
  <c r="N102" i="36" s="1"/>
  <c r="AP59" i="36"/>
  <c r="AI71" i="36"/>
  <c r="AL71" i="36" s="1"/>
  <c r="I161" i="36"/>
  <c r="N161" i="36" s="1"/>
  <c r="AW87" i="36"/>
  <c r="AZ87" i="36" s="1"/>
  <c r="I94" i="36"/>
  <c r="N94" i="36" s="1"/>
  <c r="AW73" i="36"/>
  <c r="AP94" i="36"/>
  <c r="AI108" i="36"/>
  <c r="AL108" i="36" s="1"/>
  <c r="AB62" i="36"/>
  <c r="AB98" i="36"/>
  <c r="U50" i="36"/>
  <c r="I22" i="36"/>
  <c r="N22" i="36" s="1"/>
  <c r="AP56" i="36"/>
  <c r="I114" i="36"/>
  <c r="N114" i="36" s="1"/>
  <c r="AW96" i="36"/>
  <c r="U43" i="36"/>
  <c r="X43" i="36" s="1"/>
  <c r="AP115" i="36"/>
  <c r="AB65" i="36"/>
  <c r="U70" i="36"/>
  <c r="AP83" i="36"/>
  <c r="AS83" i="36" s="1"/>
  <c r="AI102" i="36"/>
  <c r="U57" i="36"/>
  <c r="AI98" i="36"/>
  <c r="U93" i="36"/>
  <c r="AP60" i="36"/>
  <c r="AB63" i="36"/>
  <c r="AP108" i="36"/>
  <c r="AS108" i="36" s="1"/>
  <c r="AB78" i="36"/>
  <c r="AB132" i="36"/>
  <c r="AW78" i="36"/>
  <c r="AW107" i="36"/>
  <c r="AZ107" i="36" s="1"/>
  <c r="AI104" i="36"/>
  <c r="AP72" i="36"/>
  <c r="AB73" i="36"/>
  <c r="I104" i="36"/>
  <c r="N104" i="36" s="1"/>
  <c r="U119" i="36"/>
  <c r="AB94" i="36"/>
  <c r="AI119" i="36"/>
  <c r="AB121" i="36"/>
  <c r="AE121" i="36" s="1"/>
  <c r="U108" i="36"/>
  <c r="X108" i="36" s="1"/>
  <c r="I64" i="36"/>
  <c r="N64" i="36" s="1"/>
  <c r="AP76" i="36"/>
  <c r="I109" i="36"/>
  <c r="N109" i="36" s="1"/>
  <c r="Q109" i="36" s="1"/>
  <c r="AW125" i="36"/>
  <c r="U98" i="36"/>
  <c r="I57" i="36"/>
  <c r="N57" i="36" s="1"/>
  <c r="AI117" i="36"/>
  <c r="AB103" i="36"/>
  <c r="AP57" i="36"/>
  <c r="AI69" i="36"/>
  <c r="AP111" i="36"/>
  <c r="AI92" i="36"/>
  <c r="AB61" i="36"/>
  <c r="I82" i="36"/>
  <c r="N82" i="36" s="1"/>
  <c r="AP54" i="36"/>
  <c r="AS54" i="36" s="1"/>
  <c r="U120" i="36"/>
  <c r="I78" i="36"/>
  <c r="N78" i="36" s="1"/>
  <c r="I137" i="36"/>
  <c r="N137" i="36" s="1"/>
  <c r="AI86" i="36"/>
  <c r="AP86" i="36"/>
  <c r="AB54" i="36"/>
  <c r="AE54" i="36" s="1"/>
  <c r="I69" i="36"/>
  <c r="N69" i="36" s="1"/>
  <c r="AW119" i="36"/>
  <c r="AI54" i="36"/>
  <c r="AL54" i="36" s="1"/>
  <c r="I168" i="36"/>
  <c r="N168" i="36" s="1"/>
  <c r="AI100" i="36"/>
  <c r="U49" i="36"/>
  <c r="X49" i="36" s="1"/>
  <c r="AB89" i="36"/>
  <c r="AE89" i="36" s="1"/>
  <c r="U84" i="36"/>
  <c r="AW62" i="36"/>
  <c r="AW64" i="36"/>
  <c r="AP87" i="36"/>
  <c r="AS87" i="36" s="1"/>
  <c r="AB88" i="36"/>
  <c r="AE88" i="36" s="1"/>
  <c r="AI132" i="36"/>
  <c r="U76" i="36"/>
  <c r="AW126" i="36"/>
  <c r="I93" i="36"/>
  <c r="N93" i="36" s="1"/>
  <c r="AI62" i="36"/>
  <c r="I145" i="36"/>
  <c r="N145" i="36" s="1"/>
  <c r="U90" i="36"/>
  <c r="X90" i="36" s="1"/>
  <c r="AB108" i="36"/>
  <c r="AE108" i="36" s="1"/>
  <c r="U101" i="36"/>
  <c r="I68" i="36"/>
  <c r="N68" i="36" s="1"/>
  <c r="AB114" i="36"/>
  <c r="I70" i="36"/>
  <c r="N70" i="36" s="1"/>
  <c r="AP101" i="36"/>
  <c r="U78" i="36"/>
  <c r="I159" i="36"/>
  <c r="N159" i="36" s="1"/>
  <c r="Q159" i="36" s="1"/>
  <c r="I96" i="36"/>
  <c r="N96" i="36" s="1"/>
  <c r="AW124" i="36"/>
  <c r="I166" i="36"/>
  <c r="N166" i="36" s="1"/>
  <c r="AW84" i="36"/>
  <c r="AW116" i="36"/>
  <c r="AB81" i="36"/>
  <c r="U75" i="36"/>
  <c r="AW76" i="36"/>
  <c r="AB120" i="36"/>
  <c r="U58" i="36"/>
  <c r="I101" i="36"/>
  <c r="N101" i="36" s="1"/>
  <c r="I141" i="36"/>
  <c r="N141" i="36" s="1"/>
  <c r="I59" i="36"/>
  <c r="N59" i="36" s="1"/>
  <c r="AI133" i="36"/>
  <c r="AP106" i="36"/>
  <c r="AP125" i="36"/>
  <c r="AB93" i="36"/>
  <c r="AW58" i="36"/>
  <c r="I138" i="36"/>
  <c r="N138" i="36" s="1"/>
  <c r="AI50" i="36"/>
  <c r="I113" i="36"/>
  <c r="N113" i="36" s="1"/>
  <c r="AW120" i="36"/>
  <c r="AW69" i="36"/>
  <c r="AW85" i="36"/>
  <c r="AZ85" i="36" s="1"/>
  <c r="U81" i="36"/>
  <c r="AP45" i="36"/>
  <c r="AS45" i="36" s="1"/>
  <c r="U124" i="36"/>
  <c r="I72" i="36"/>
  <c r="N72" i="36" s="1"/>
  <c r="AI72" i="36"/>
  <c r="I133" i="36"/>
  <c r="N133" i="36" s="1"/>
  <c r="AB72" i="36"/>
  <c r="I122" i="36"/>
  <c r="N122" i="36" s="1"/>
  <c r="AI88" i="36"/>
  <c r="AL88" i="36" s="1"/>
  <c r="AB57" i="36"/>
  <c r="AI126" i="36"/>
  <c r="AI127" i="36"/>
  <c r="AB130" i="36"/>
  <c r="U69" i="36"/>
  <c r="I155" i="36"/>
  <c r="N155" i="36" s="1"/>
  <c r="U113" i="36"/>
  <c r="I95" i="36"/>
  <c r="N95" i="36" s="1"/>
  <c r="AW80" i="36"/>
  <c r="U61" i="36"/>
  <c r="AP124" i="36"/>
  <c r="AI103" i="36"/>
  <c r="AP123" i="36"/>
  <c r="AB91" i="36"/>
  <c r="AP71" i="36"/>
  <c r="AS71" i="36" s="1"/>
  <c r="AI58" i="36"/>
  <c r="AP116" i="36"/>
  <c r="AI55" i="36"/>
  <c r="AB87" i="36"/>
  <c r="AE87" i="36" s="1"/>
  <c r="U86" i="36"/>
  <c r="I43" i="36"/>
  <c r="N43" i="36" s="1"/>
  <c r="Q43" i="36" s="1"/>
  <c r="U83" i="36"/>
  <c r="X83" i="36" s="1"/>
  <c r="I116" i="36"/>
  <c r="N116" i="36" s="1"/>
  <c r="AP110" i="36"/>
  <c r="AI125" i="36"/>
  <c r="AP62" i="36"/>
  <c r="AP128" i="36"/>
  <c r="AB111" i="36"/>
  <c r="I56" i="36"/>
  <c r="N56" i="36" s="1"/>
  <c r="AI49" i="36"/>
  <c r="AL49" i="36" s="1"/>
  <c r="I125" i="36"/>
  <c r="N125" i="36" s="1"/>
  <c r="U51" i="36"/>
  <c r="AI94" i="36"/>
  <c r="AB51" i="36"/>
  <c r="U45" i="36"/>
  <c r="X45" i="36" s="1"/>
  <c r="AW100" i="36"/>
  <c r="AW50" i="36"/>
  <c r="AW102" i="36"/>
  <c r="AP46" i="36"/>
  <c r="AS46" i="36" s="1"/>
  <c r="U116" i="36"/>
  <c r="AP107" i="36"/>
  <c r="AS107" i="36" s="1"/>
  <c r="AB76" i="36"/>
  <c r="AI77" i="36"/>
  <c r="AL77" i="36" s="1"/>
  <c r="AW104" i="36"/>
  <c r="AP73" i="36"/>
  <c r="AP112" i="36"/>
  <c r="AI130" i="36"/>
  <c r="AB83" i="36"/>
  <c r="AE83" i="36" s="1"/>
  <c r="AB82" i="36"/>
  <c r="I98" i="36"/>
  <c r="N98" i="36" s="1"/>
  <c r="AB117" i="36"/>
  <c r="U100" i="36"/>
  <c r="I58" i="36"/>
  <c r="N58" i="36" s="1"/>
  <c r="AW115" i="36"/>
  <c r="I165" i="36"/>
  <c r="N165" i="36" s="1"/>
  <c r="AI65" i="36"/>
  <c r="AP100" i="36"/>
  <c r="AB50" i="36"/>
  <c r="U111" i="36"/>
  <c r="AP82" i="36"/>
  <c r="AI93" i="36"/>
  <c r="AB49" i="36"/>
  <c r="AE49" i="36" s="1"/>
  <c r="U47" i="36"/>
  <c r="X47" i="36" s="1"/>
  <c r="AB96" i="36"/>
  <c r="U44" i="36"/>
  <c r="X44" i="36" s="1"/>
  <c r="I75" i="36"/>
  <c r="N75" i="36" s="1"/>
  <c r="U123" i="36"/>
  <c r="I81" i="36"/>
  <c r="N81" i="36" s="1"/>
  <c r="AP75" i="36"/>
  <c r="AI87" i="36"/>
  <c r="AL87" i="36" s="1"/>
  <c r="AI116" i="36"/>
  <c r="AP121" i="36"/>
  <c r="AS121" i="36" s="1"/>
  <c r="AB70" i="36"/>
  <c r="I90" i="36"/>
  <c r="N90" i="36" s="1"/>
  <c r="Q90" i="36" s="1"/>
  <c r="AB109" i="36"/>
  <c r="AE109" i="36" s="1"/>
  <c r="I48" i="36"/>
  <c r="N48" i="36" s="1"/>
  <c r="Q48" i="36" s="1"/>
  <c r="I130" i="36"/>
  <c r="N130" i="36" s="1"/>
  <c r="AI95" i="36"/>
  <c r="AB48" i="36"/>
  <c r="AE48" i="36" s="1"/>
  <c r="I140" i="36"/>
  <c r="N140" i="36" s="1"/>
  <c r="Q140" i="36" s="1"/>
  <c r="AW55" i="36"/>
  <c r="AW89" i="36"/>
  <c r="AZ89" i="36" s="1"/>
  <c r="AW57" i="36"/>
  <c r="AP85" i="36"/>
  <c r="AS85" i="36" s="1"/>
  <c r="AI78" i="36"/>
  <c r="AP133" i="36"/>
  <c r="AI81" i="36"/>
  <c r="AP130" i="36"/>
  <c r="AB95" i="36"/>
  <c r="I51" i="36"/>
  <c r="N51" i="36" s="1"/>
  <c r="AB107" i="36"/>
  <c r="AE107" i="36" s="1"/>
  <c r="I92" i="36"/>
  <c r="N92" i="36" s="1"/>
  <c r="I89" i="36"/>
  <c r="N89" i="36" s="1"/>
  <c r="Q89" i="36" s="1"/>
  <c r="AI57" i="36"/>
  <c r="I167" i="36"/>
  <c r="N167" i="36" s="1"/>
  <c r="AP47" i="36"/>
  <c r="AS47" i="36" s="1"/>
  <c r="AP68" i="36"/>
  <c r="U112" i="36"/>
  <c r="AB55" i="36"/>
  <c r="U95" i="36"/>
  <c r="I124" i="36"/>
  <c r="N124" i="36" s="1"/>
  <c r="AW97" i="36"/>
  <c r="AZ97" i="36" s="1"/>
  <c r="AB97" i="36"/>
  <c r="AE97" i="36" s="1"/>
  <c r="AW54" i="36"/>
  <c r="AZ54" i="36" s="1"/>
  <c r="AW112" i="36"/>
  <c r="AB110" i="36"/>
  <c r="U60" i="36"/>
  <c r="U106" i="36"/>
  <c r="AW111" i="36"/>
  <c r="AW77" i="36"/>
  <c r="AZ77" i="36" s="1"/>
  <c r="U68" i="36"/>
  <c r="AP77" i="36"/>
  <c r="AS77" i="36" s="1"/>
  <c r="AB45" i="36"/>
  <c r="AE45" i="36" s="1"/>
  <c r="AI75" i="36"/>
  <c r="U103" i="36"/>
  <c r="AI124" i="36"/>
  <c r="U62" i="36"/>
  <c r="AP92" i="36"/>
  <c r="AP122" i="36"/>
  <c r="AI48" i="36"/>
  <c r="AL48" i="36" s="1"/>
  <c r="I142" i="36"/>
  <c r="N142" i="36" s="1"/>
  <c r="AI90" i="36"/>
  <c r="AL90" i="36" s="1"/>
  <c r="U19" i="36"/>
  <c r="U85" i="36"/>
  <c r="X85" i="36" s="1"/>
  <c r="AP89" i="36"/>
  <c r="AS89" i="36" s="1"/>
  <c r="AI96" i="36"/>
  <c r="AI128" i="36"/>
  <c r="AP90" i="36"/>
  <c r="AS90" i="36" s="1"/>
  <c r="AP117" i="36"/>
  <c r="AI45" i="36"/>
  <c r="AL45" i="36" s="1"/>
  <c r="I120" i="36"/>
  <c r="N120" i="36" s="1"/>
  <c r="AW130" i="36"/>
  <c r="AI123" i="36"/>
  <c r="AP44" i="36"/>
  <c r="AS44" i="36" s="1"/>
  <c r="U128" i="36"/>
  <c r="AW133" i="36"/>
  <c r="AP104" i="36"/>
  <c r="AP91" i="36"/>
  <c r="AI112" i="36"/>
  <c r="U65" i="36"/>
  <c r="I153" i="36"/>
  <c r="N153" i="36" s="1"/>
  <c r="AP55" i="36"/>
  <c r="AI111" i="36"/>
  <c r="AI121" i="36"/>
  <c r="AL121" i="36" s="1"/>
  <c r="AI43" i="36"/>
  <c r="AL43" i="36" s="1"/>
  <c r="I123" i="36"/>
  <c r="N123" i="36" s="1"/>
  <c r="AI51" i="36"/>
  <c r="U80" i="36"/>
  <c r="U46" i="36"/>
  <c r="X46" i="36" s="1"/>
  <c r="AP49" i="36"/>
  <c r="AS49" i="36" s="1"/>
  <c r="AI97" i="36"/>
  <c r="AL97" i="36" s="1"/>
  <c r="U133" i="36"/>
  <c r="AP67" i="36"/>
  <c r="AP88" i="36"/>
  <c r="AS88" i="36" s="1"/>
  <c r="AW95" i="36"/>
  <c r="I83" i="36"/>
  <c r="N83" i="36" s="1"/>
  <c r="Q83" i="36" s="1"/>
  <c r="AW82" i="36"/>
  <c r="I65" i="36"/>
  <c r="N65" i="36" s="1"/>
  <c r="U122" i="36"/>
  <c r="AP102" i="36"/>
  <c r="AW49" i="36"/>
  <c r="AZ49" i="36" s="1"/>
  <c r="I100" i="36"/>
  <c r="N100" i="36" s="1"/>
  <c r="AW108" i="36"/>
  <c r="AZ108" i="36" s="1"/>
  <c r="AI84" i="36"/>
  <c r="I108" i="36"/>
  <c r="N108" i="36" s="1"/>
  <c r="Q108" i="36" s="1"/>
  <c r="AB43" i="36"/>
  <c r="AE43" i="36" s="1"/>
  <c r="AW71" i="36"/>
  <c r="AZ71" i="36" s="1"/>
  <c r="AW65" i="36"/>
  <c r="I49" i="36"/>
  <c r="N49" i="36" s="1"/>
  <c r="Q49" i="36" s="1"/>
  <c r="AB113" i="36"/>
  <c r="I71" i="36"/>
  <c r="N71" i="36" s="1"/>
  <c r="Q71" i="36" s="1"/>
  <c r="AW90" i="36"/>
  <c r="AZ90" i="36" s="1"/>
  <c r="AW45" i="36"/>
  <c r="AZ45" i="36" s="1"/>
  <c r="AW86" i="36"/>
  <c r="U121" i="36"/>
  <c r="X121" i="36" s="1"/>
  <c r="I158" i="36"/>
  <c r="N158" i="36" s="1"/>
  <c r="U88" i="36"/>
  <c r="X88" i="36" s="1"/>
  <c r="AP97" i="36"/>
  <c r="AS97" i="36" s="1"/>
  <c r="AB126" i="36"/>
  <c r="I55" i="36"/>
  <c r="N55" i="36" s="1"/>
  <c r="AW83" i="36"/>
  <c r="AZ83" i="36" s="1"/>
  <c r="AW46" i="36"/>
  <c r="AZ46" i="36" s="1"/>
  <c r="U127" i="36"/>
  <c r="I88" i="36"/>
  <c r="N88" i="36" s="1"/>
  <c r="Q88" i="36" s="1"/>
  <c r="AW93" i="36"/>
  <c r="I54" i="36"/>
  <c r="N54" i="36" s="1"/>
  <c r="Q54" i="36" s="1"/>
  <c r="AW110" i="36"/>
  <c r="U92" i="36"/>
  <c r="AI115" i="36"/>
  <c r="AW127" i="36"/>
  <c r="AB124" i="36"/>
  <c r="I62" i="36"/>
  <c r="N62" i="36" s="1"/>
  <c r="AW61" i="36"/>
  <c r="AI85" i="36"/>
  <c r="AL85" i="36" s="1"/>
  <c r="AI82" i="36"/>
  <c r="I103" i="36"/>
  <c r="N103" i="36" s="1"/>
  <c r="AI89" i="36"/>
  <c r="AL89" i="36" s="1"/>
  <c r="AB106" i="36"/>
  <c r="I61" i="36"/>
  <c r="N61" i="36" s="1"/>
  <c r="AB125" i="36"/>
  <c r="I111" i="36"/>
  <c r="N111" i="36" s="1"/>
  <c r="AI106" i="36"/>
  <c r="AW122" i="36"/>
  <c r="AB115" i="36"/>
  <c r="AP95" i="36"/>
  <c r="AB46" i="36"/>
  <c r="AE46" i="36" s="1"/>
  <c r="AP109" i="36"/>
  <c r="AS109" i="36" s="1"/>
  <c r="AB59" i="36"/>
  <c r="AB58" i="36"/>
  <c r="AB68" i="36"/>
  <c r="I50" i="36"/>
  <c r="N50" i="36" s="1"/>
  <c r="AW92" i="36"/>
  <c r="AW94" i="36"/>
  <c r="U77" i="36"/>
  <c r="X77" i="36" s="1"/>
  <c r="U110" i="36"/>
  <c r="I143" i="36"/>
  <c r="N143" i="36" s="1"/>
  <c r="AB133" i="36"/>
  <c r="I152" i="36"/>
  <c r="N152" i="36" s="1"/>
  <c r="AI44" i="36"/>
  <c r="AL44" i="36" s="1"/>
  <c r="AP98" i="36"/>
  <c r="AB67" i="36"/>
  <c r="AP132" i="36"/>
  <c r="AB80" i="36"/>
  <c r="I97" i="36"/>
  <c r="N97" i="36" s="1"/>
  <c r="Q97" i="36" s="1"/>
  <c r="AI67" i="36"/>
  <c r="AR25" i="36"/>
  <c r="AW25" i="36" s="1"/>
  <c r="AB123" i="36"/>
  <c r="AP58" i="36"/>
  <c r="AP114" i="36"/>
  <c r="AB85" i="36"/>
  <c r="AE85" i="36" s="1"/>
  <c r="AW67" i="36"/>
  <c r="I146" i="36"/>
  <c r="N146" i="36" s="1"/>
  <c r="AB127" i="36"/>
  <c r="AB56" i="36"/>
  <c r="I86" i="36"/>
  <c r="N86" i="36" s="1"/>
  <c r="U125" i="36"/>
  <c r="I127" i="36"/>
  <c r="N127" i="36" s="1"/>
  <c r="U107" i="36"/>
  <c r="X107" i="36" s="1"/>
  <c r="I47" i="36"/>
  <c r="N47" i="36" s="1"/>
  <c r="Q47" i="36" s="1"/>
  <c r="U117" i="36"/>
  <c r="AW75" i="36"/>
  <c r="AW123" i="36"/>
  <c r="U71" i="36"/>
  <c r="X71" i="36" s="1"/>
  <c r="AI114" i="36"/>
  <c r="AW60" i="36"/>
  <c r="AB75" i="36"/>
  <c r="U114" i="36"/>
  <c r="AW101" i="36"/>
  <c r="AW47" i="36"/>
  <c r="AZ47" i="36" s="1"/>
  <c r="I154" i="36"/>
  <c r="N154" i="36" s="1"/>
  <c r="AW81" i="36"/>
  <c r="AP43" i="36"/>
  <c r="AS43" i="36" s="1"/>
  <c r="AI64" i="36"/>
  <c r="AI61" i="36"/>
  <c r="U56" i="36"/>
  <c r="AB84" i="36"/>
  <c r="I45" i="36"/>
  <c r="N45" i="36" s="1"/>
  <c r="Q45" i="36" s="1"/>
  <c r="H77" i="49" l="1"/>
  <c r="H80" i="49" s="1"/>
  <c r="H87" i="49"/>
  <c r="H90" i="49" s="1"/>
  <c r="BB132" i="36"/>
  <c r="C31" i="49"/>
  <c r="E31" i="49"/>
  <c r="F7" i="49"/>
  <c r="D31" i="49"/>
  <c r="M4" i="62"/>
  <c r="AG12" i="36"/>
  <c r="AE12" i="36"/>
  <c r="Z6" i="36"/>
  <c r="AE6" i="36" s="1"/>
  <c r="O25" i="36"/>
  <c r="S25" i="36"/>
  <c r="BS9" i="36"/>
  <c r="BN169" i="36"/>
  <c r="BP169" i="36"/>
  <c r="BS169" i="36"/>
  <c r="BN151" i="36"/>
  <c r="BP151" i="36"/>
  <c r="BS151" i="36"/>
  <c r="BN160" i="36"/>
  <c r="BP160" i="36"/>
  <c r="BS160" i="36"/>
  <c r="BN139" i="36"/>
  <c r="BP139" i="36"/>
  <c r="BS139" i="36"/>
  <c r="L168" i="36"/>
  <c r="L164" i="36"/>
  <c r="L165" i="36"/>
  <c r="L167" i="36"/>
  <c r="L166" i="36"/>
  <c r="L152" i="36"/>
  <c r="L155" i="36"/>
  <c r="L158" i="36"/>
  <c r="L154" i="36"/>
  <c r="L161" i="36"/>
  <c r="L153" i="36"/>
  <c r="L141" i="36"/>
  <c r="L142" i="36"/>
  <c r="L143" i="36"/>
  <c r="L148" i="36"/>
  <c r="L144" i="36"/>
  <c r="L147" i="36"/>
  <c r="L137" i="36"/>
  <c r="L138" i="36"/>
  <c r="L146" i="36"/>
  <c r="L145" i="36"/>
  <c r="L50" i="36"/>
  <c r="S50" i="36" s="1"/>
  <c r="Z50" i="36" s="1"/>
  <c r="AG50" i="36" s="1"/>
  <c r="AN50" i="36" s="1"/>
  <c r="AU50" i="36" s="1"/>
  <c r="BB50" i="36" s="1"/>
  <c r="BL118" i="36"/>
  <c r="AJ129" i="36"/>
  <c r="O50" i="36"/>
  <c r="BP118" i="36"/>
  <c r="BN118" i="36"/>
  <c r="N21" i="36"/>
  <c r="Q22" i="36"/>
  <c r="Q21" i="36" s="1"/>
  <c r="N15" i="36"/>
  <c r="Q19" i="36"/>
  <c r="Q15" i="36"/>
  <c r="I21" i="36"/>
  <c r="U22" i="36"/>
  <c r="X19" i="36"/>
  <c r="U15" i="36"/>
  <c r="I15" i="36"/>
  <c r="AQ16" i="36"/>
  <c r="AS16" i="36"/>
  <c r="AS15" i="36" s="1"/>
  <c r="AU16" i="36"/>
  <c r="U16" i="36"/>
  <c r="X16" i="36" s="1"/>
  <c r="X15" i="36" s="1"/>
  <c r="G25" i="36"/>
  <c r="J25" i="36" s="1"/>
  <c r="N25" i="36"/>
  <c r="Q25" i="36" s="1"/>
  <c r="X69" i="36"/>
  <c r="X98" i="36"/>
  <c r="AL129" i="36"/>
  <c r="AP25" i="36"/>
  <c r="A130" i="71"/>
  <c r="BW9" i="36"/>
  <c r="BU9" i="36"/>
  <c r="AC6" i="36"/>
  <c r="A167" i="70"/>
  <c r="K11" i="70" s="1"/>
  <c r="H168" i="36"/>
  <c r="H164" i="36"/>
  <c r="H165" i="36"/>
  <c r="H167" i="36"/>
  <c r="H166" i="36"/>
  <c r="H152" i="36"/>
  <c r="H159" i="36"/>
  <c r="H155" i="36"/>
  <c r="H158" i="36"/>
  <c r="H154" i="36"/>
  <c r="H161" i="36"/>
  <c r="H153" i="36"/>
  <c r="H148" i="36"/>
  <c r="H141" i="36"/>
  <c r="H142" i="36"/>
  <c r="H143" i="36"/>
  <c r="H144" i="36"/>
  <c r="H147" i="36"/>
  <c r="H137" i="36"/>
  <c r="H138" i="36"/>
  <c r="H146" i="36"/>
  <c r="H145" i="36"/>
  <c r="H128" i="36"/>
  <c r="H104" i="36"/>
  <c r="H73" i="36"/>
  <c r="H72" i="36"/>
  <c r="H50" i="36"/>
  <c r="H89" i="36"/>
  <c r="H130" i="36"/>
  <c r="H115" i="36"/>
  <c r="H117" i="36"/>
  <c r="H97" i="36"/>
  <c r="H57" i="36"/>
  <c r="H108" i="36"/>
  <c r="H80" i="36"/>
  <c r="H94" i="36"/>
  <c r="H60" i="36"/>
  <c r="H59" i="36"/>
  <c r="H119" i="36"/>
  <c r="H126" i="36"/>
  <c r="H48" i="36"/>
  <c r="H87" i="36"/>
  <c r="H125" i="36"/>
  <c r="H111" i="36"/>
  <c r="H56" i="36"/>
  <c r="H93" i="36"/>
  <c r="H49" i="36"/>
  <c r="H127" i="36"/>
  <c r="H90" i="36"/>
  <c r="H62" i="36"/>
  <c r="H100" i="36"/>
  <c r="H63" i="36"/>
  <c r="H65" i="36"/>
  <c r="H116" i="36"/>
  <c r="H78" i="36"/>
  <c r="H92" i="36"/>
  <c r="H85" i="36"/>
  <c r="H107" i="36"/>
  <c r="H122" i="36"/>
  <c r="H67" i="36"/>
  <c r="H106" i="36"/>
  <c r="H75" i="36"/>
  <c r="H86" i="36"/>
  <c r="H76" i="36"/>
  <c r="H88" i="36"/>
  <c r="H113" i="36"/>
  <c r="H44" i="36"/>
  <c r="H83" i="36"/>
  <c r="H120" i="36"/>
  <c r="H101" i="36"/>
  <c r="H61" i="36"/>
  <c r="H70" i="36"/>
  <c r="H132" i="36"/>
  <c r="H51" i="36"/>
  <c r="H114" i="36"/>
  <c r="H124" i="36"/>
  <c r="H46" i="36"/>
  <c r="H123" i="36"/>
  <c r="H82" i="36"/>
  <c r="H133" i="36"/>
  <c r="H96" i="36"/>
  <c r="H95" i="36"/>
  <c r="H47" i="36"/>
  <c r="H102" i="36"/>
  <c r="H77" i="36"/>
  <c r="H110" i="36"/>
  <c r="H103" i="36"/>
  <c r="H91" i="36"/>
  <c r="H121" i="36"/>
  <c r="H81" i="36"/>
  <c r="H58" i="36"/>
  <c r="H55" i="36"/>
  <c r="H64" i="36"/>
  <c r="H68" i="36"/>
  <c r="H84" i="36"/>
  <c r="H54" i="36"/>
  <c r="H45" i="36"/>
  <c r="H109" i="36"/>
  <c r="A143" i="71"/>
  <c r="A172" i="71"/>
  <c r="BK4" i="36"/>
  <c r="BK38" i="36" s="1"/>
  <c r="BK39" i="36" s="1"/>
  <c r="CH4" i="36"/>
  <c r="CH38" i="36" s="1"/>
  <c r="CH39" i="36" s="1"/>
  <c r="BD4" i="36"/>
  <c r="G103" i="36"/>
  <c r="J103" i="36" s="1"/>
  <c r="G55" i="36"/>
  <c r="J55" i="36" s="1"/>
  <c r="AD24" i="36"/>
  <c r="AD181" i="36" s="1"/>
  <c r="G45" i="36"/>
  <c r="J45" i="36" s="1"/>
  <c r="G62" i="36"/>
  <c r="J62" i="36" s="1"/>
  <c r="G113" i="36"/>
  <c r="J113" i="36" s="1"/>
  <c r="G138" i="36"/>
  <c r="J138" i="36" s="1"/>
  <c r="G147" i="36"/>
  <c r="G87" i="36"/>
  <c r="J87" i="36" s="1"/>
  <c r="G144" i="36"/>
  <c r="J144" i="36" s="1"/>
  <c r="G158" i="36"/>
  <c r="J158" i="36" s="1"/>
  <c r="AK42" i="36"/>
  <c r="AK150" i="36"/>
  <c r="G121" i="36"/>
  <c r="J121" i="36" s="1"/>
  <c r="G59" i="36"/>
  <c r="J59" i="36" s="1"/>
  <c r="G141" i="36"/>
  <c r="J141" i="36" s="1"/>
  <c r="G101" i="36"/>
  <c r="J101" i="36" s="1"/>
  <c r="G91" i="36"/>
  <c r="J91" i="36" s="1"/>
  <c r="G154" i="36"/>
  <c r="J154" i="36" s="1"/>
  <c r="G63" i="36"/>
  <c r="J63" i="36" s="1"/>
  <c r="G71" i="36"/>
  <c r="J71" i="36" s="1"/>
  <c r="G124" i="36"/>
  <c r="J124" i="36" s="1"/>
  <c r="G49" i="36"/>
  <c r="J49" i="36" s="1"/>
  <c r="AR150" i="36"/>
  <c r="G54" i="36"/>
  <c r="J54" i="36" s="1"/>
  <c r="G166" i="36"/>
  <c r="J166" i="36" s="1"/>
  <c r="G96" i="36"/>
  <c r="J96" i="36" s="1"/>
  <c r="G88" i="36"/>
  <c r="J88" i="36" s="1"/>
  <c r="G159" i="36"/>
  <c r="J159" i="36" s="1"/>
  <c r="G110" i="36"/>
  <c r="J110" i="36" s="1"/>
  <c r="W42" i="36"/>
  <c r="G108" i="36"/>
  <c r="J108" i="36" s="1"/>
  <c r="AR163" i="36"/>
  <c r="G117" i="36"/>
  <c r="J117" i="36" s="1"/>
  <c r="G70" i="36"/>
  <c r="J70" i="36" s="1"/>
  <c r="G112" i="36"/>
  <c r="J112" i="36" s="1"/>
  <c r="G68" i="36"/>
  <c r="J68" i="36" s="1"/>
  <c r="I24" i="36"/>
  <c r="I181" i="36" s="1"/>
  <c r="G100" i="36"/>
  <c r="J100" i="36" s="1"/>
  <c r="G167" i="36"/>
  <c r="J167" i="36" s="1"/>
  <c r="G47" i="36"/>
  <c r="J47" i="36" s="1"/>
  <c r="G89" i="36"/>
  <c r="J89" i="36" s="1"/>
  <c r="G92" i="36"/>
  <c r="J92" i="36" s="1"/>
  <c r="G145" i="36"/>
  <c r="J145" i="36" s="1"/>
  <c r="G51" i="36"/>
  <c r="J51" i="36" s="1"/>
  <c r="G93" i="36"/>
  <c r="J93" i="36" s="1"/>
  <c r="W163" i="36"/>
  <c r="AD135" i="36"/>
  <c r="AR135" i="36"/>
  <c r="G65" i="36"/>
  <c r="J65" i="36" s="1"/>
  <c r="G67" i="36"/>
  <c r="J67" i="36" s="1"/>
  <c r="G127" i="36"/>
  <c r="J127" i="36" s="1"/>
  <c r="AD150" i="36"/>
  <c r="G80" i="36"/>
  <c r="J80" i="36" s="1"/>
  <c r="G107" i="36"/>
  <c r="J107" i="36" s="1"/>
  <c r="G84" i="36"/>
  <c r="J84" i="36" s="1"/>
  <c r="G83" i="36"/>
  <c r="J83" i="36" s="1"/>
  <c r="G140" i="36"/>
  <c r="J140" i="36" s="1"/>
  <c r="G86" i="36"/>
  <c r="J86" i="36" s="1"/>
  <c r="G130" i="36"/>
  <c r="J130" i="36" s="1"/>
  <c r="G48" i="36"/>
  <c r="J48" i="36" s="1"/>
  <c r="G90" i="36"/>
  <c r="J90" i="36" s="1"/>
  <c r="G168" i="36"/>
  <c r="J168" i="36" s="1"/>
  <c r="G69" i="36"/>
  <c r="J69" i="36" s="1"/>
  <c r="G146" i="36"/>
  <c r="J146" i="36" s="1"/>
  <c r="AD163" i="36"/>
  <c r="G81" i="36"/>
  <c r="J81" i="36" s="1"/>
  <c r="I135" i="36"/>
  <c r="G137" i="36"/>
  <c r="J137" i="36" s="1"/>
  <c r="G75" i="36"/>
  <c r="J75" i="36" s="1"/>
  <c r="G78" i="36"/>
  <c r="J78" i="36" s="1"/>
  <c r="G132" i="36"/>
  <c r="J132" i="36" s="1"/>
  <c r="G82" i="36"/>
  <c r="J82" i="36" s="1"/>
  <c r="G46" i="36"/>
  <c r="J46" i="36" s="1"/>
  <c r="G123" i="36"/>
  <c r="J123" i="36" s="1"/>
  <c r="AD42" i="36"/>
  <c r="AD41" i="36" s="1"/>
  <c r="AD182" i="36" s="1"/>
  <c r="AD4" i="36"/>
  <c r="AR24" i="36"/>
  <c r="AR181" i="36" s="1"/>
  <c r="AK24" i="36"/>
  <c r="AK181" i="36" s="1"/>
  <c r="G57" i="36"/>
  <c r="J57" i="36" s="1"/>
  <c r="G148" i="36"/>
  <c r="J148" i="36" s="1"/>
  <c r="G97" i="36"/>
  <c r="J97" i="36" s="1"/>
  <c r="G165" i="36"/>
  <c r="J165" i="36" s="1"/>
  <c r="I163" i="36"/>
  <c r="I150" i="36"/>
  <c r="G153" i="36"/>
  <c r="J153" i="36" s="1"/>
  <c r="G58" i="36"/>
  <c r="J58" i="36" s="1"/>
  <c r="G109" i="36"/>
  <c r="J109" i="36" s="1"/>
  <c r="P150" i="36"/>
  <c r="G98" i="36"/>
  <c r="J98" i="36" s="1"/>
  <c r="G64" i="36"/>
  <c r="J64" i="36" s="1"/>
  <c r="G115" i="36"/>
  <c r="J115" i="36" s="1"/>
  <c r="AK135" i="36"/>
  <c r="G152" i="36"/>
  <c r="J152" i="36" s="1"/>
  <c r="G104" i="36"/>
  <c r="J104" i="36" s="1"/>
  <c r="G119" i="36"/>
  <c r="J119" i="36" s="1"/>
  <c r="G143" i="36"/>
  <c r="J143" i="36" s="1"/>
  <c r="G128" i="36"/>
  <c r="J128" i="36" s="1"/>
  <c r="G106" i="36"/>
  <c r="J106" i="36" s="1"/>
  <c r="G76" i="36"/>
  <c r="J76" i="36" s="1"/>
  <c r="W135" i="36"/>
  <c r="AR42" i="36"/>
  <c r="G44" i="36"/>
  <c r="J44" i="36" s="1"/>
  <c r="G120" i="36"/>
  <c r="J120" i="36" s="1"/>
  <c r="P24" i="36"/>
  <c r="P181" i="36" s="1"/>
  <c r="G50" i="36"/>
  <c r="J50" i="36" s="1"/>
  <c r="G125" i="36"/>
  <c r="J125" i="36" s="1"/>
  <c r="G56" i="36"/>
  <c r="J56" i="36" s="1"/>
  <c r="G16" i="36"/>
  <c r="J16" i="36" s="1"/>
  <c r="G77" i="36"/>
  <c r="J77" i="36" s="1"/>
  <c r="G116" i="36"/>
  <c r="J116" i="36" s="1"/>
  <c r="P42" i="36"/>
  <c r="G114" i="36"/>
  <c r="J114" i="36" s="1"/>
  <c r="G43" i="36"/>
  <c r="J43" i="36" s="1"/>
  <c r="I42" i="36"/>
  <c r="G22" i="36"/>
  <c r="G21" i="36" s="1"/>
  <c r="G85" i="36"/>
  <c r="J85" i="36" s="1"/>
  <c r="G142" i="36"/>
  <c r="J142" i="36" s="1"/>
  <c r="AK4" i="36"/>
  <c r="AK163" i="36"/>
  <c r="P163" i="36"/>
  <c r="G94" i="36"/>
  <c r="J94" i="36" s="1"/>
  <c r="G60" i="36"/>
  <c r="J60" i="36" s="1"/>
  <c r="G111" i="36"/>
  <c r="J111" i="36" s="1"/>
  <c r="G95" i="36"/>
  <c r="J95" i="36" s="1"/>
  <c r="G161" i="36"/>
  <c r="J161" i="36" s="1"/>
  <c r="G61" i="36"/>
  <c r="J61" i="36" s="1"/>
  <c r="G155" i="36"/>
  <c r="J155" i="36" s="1"/>
  <c r="G102" i="36"/>
  <c r="W24" i="36"/>
  <c r="W181" i="36" s="1"/>
  <c r="P135" i="36"/>
  <c r="W150" i="36"/>
  <c r="AR4" i="36"/>
  <c r="G122" i="36"/>
  <c r="J122" i="36" s="1"/>
  <c r="G126" i="36"/>
  <c r="J126" i="36" s="1"/>
  <c r="G133" i="36"/>
  <c r="J133" i="36" s="1"/>
  <c r="G73" i="36"/>
  <c r="J73" i="36" s="1"/>
  <c r="G164" i="36"/>
  <c r="J164" i="36" s="1"/>
  <c r="G72" i="36"/>
  <c r="J72" i="36" s="1"/>
  <c r="J102" i="36"/>
  <c r="AW4" i="36"/>
  <c r="AW24" i="36"/>
  <c r="D13" i="49" s="1"/>
  <c r="AW42" i="36"/>
  <c r="D8" i="49" s="1"/>
  <c r="J147" i="36"/>
  <c r="BD24" i="36"/>
  <c r="F13" i="49" s="1"/>
  <c r="F14" i="49" s="1"/>
  <c r="BD163" i="36"/>
  <c r="F10" i="49" s="1"/>
  <c r="BD42" i="36"/>
  <c r="F8" i="49" s="1"/>
  <c r="BD150" i="36"/>
  <c r="F11" i="49" s="1"/>
  <c r="BD135" i="36"/>
  <c r="F9" i="49" s="1"/>
  <c r="BK181" i="36"/>
  <c r="BR181" i="36"/>
  <c r="BY181" i="36"/>
  <c r="E24" i="36"/>
  <c r="E181" i="36" s="1"/>
  <c r="L163" i="36"/>
  <c r="E163" i="36"/>
  <c r="H140" i="36"/>
  <c r="H135" i="36" s="1"/>
  <c r="H112" i="36"/>
  <c r="E150" i="36"/>
  <c r="H43" i="36"/>
  <c r="AY182" i="36"/>
  <c r="BT182" i="36"/>
  <c r="L24" i="36"/>
  <c r="L181" i="36" s="1"/>
  <c r="H69" i="36"/>
  <c r="H98" i="36"/>
  <c r="H163" i="36"/>
  <c r="AY38" i="36"/>
  <c r="AY39" i="36" s="1"/>
  <c r="H150" i="36"/>
  <c r="E42" i="36"/>
  <c r="L150" i="36"/>
  <c r="E135" i="36"/>
  <c r="BM182" i="36"/>
  <c r="BF182" i="36"/>
  <c r="CH181" i="36"/>
  <c r="CF4" i="36"/>
  <c r="CF38" i="36" s="1"/>
  <c r="CF39" i="36" s="1"/>
  <c r="L135" i="36"/>
  <c r="H25" i="36"/>
  <c r="CF181" i="36"/>
  <c r="H16" i="36"/>
  <c r="L42" i="36"/>
  <c r="BF38" i="36"/>
  <c r="BF39" i="36" s="1"/>
  <c r="K4" i="65"/>
  <c r="J4" i="65"/>
  <c r="L4" i="65" s="1"/>
  <c r="K5" i="65"/>
  <c r="J5" i="65"/>
  <c r="L5" i="65" s="1"/>
  <c r="J15" i="65"/>
  <c r="L15" i="65" s="1"/>
  <c r="J13" i="65"/>
  <c r="L13" i="65" s="1"/>
  <c r="K13" i="65"/>
  <c r="J9" i="65"/>
  <c r="L9" i="65" s="1"/>
  <c r="I3" i="65"/>
  <c r="J10" i="65"/>
  <c r="L10" i="65" s="1"/>
  <c r="K6" i="65"/>
  <c r="J6" i="65"/>
  <c r="L6" i="65" s="1"/>
  <c r="J11" i="65"/>
  <c r="L11" i="65" s="1"/>
  <c r="K15" i="65"/>
  <c r="J12" i="65"/>
  <c r="L12" i="65" s="1"/>
  <c r="J7" i="65"/>
  <c r="L7" i="65" s="1"/>
  <c r="K7" i="65"/>
  <c r="K8" i="65"/>
  <c r="J8" i="65"/>
  <c r="L8" i="65" s="1"/>
  <c r="K9" i="65"/>
  <c r="J18" i="65"/>
  <c r="L18" i="65" s="1"/>
  <c r="J16" i="65"/>
  <c r="L16" i="65" s="1"/>
  <c r="K16" i="65"/>
  <c r="J17" i="65"/>
  <c r="L17" i="65" s="1"/>
  <c r="K18" i="65"/>
  <c r="K17" i="65"/>
  <c r="K11" i="65"/>
  <c r="K12" i="65"/>
  <c r="K14" i="65"/>
  <c r="K10" i="65"/>
  <c r="A185" i="66"/>
  <c r="M4" i="72"/>
  <c r="I3" i="70"/>
  <c r="K4" i="70"/>
  <c r="K8" i="70"/>
  <c r="K16" i="70"/>
  <c r="J14" i="70"/>
  <c r="L14" i="70" s="1"/>
  <c r="J6" i="70"/>
  <c r="L6" i="70" s="1"/>
  <c r="J13" i="70"/>
  <c r="L13" i="70" s="1"/>
  <c r="K17" i="70"/>
  <c r="K9" i="70"/>
  <c r="K10" i="70"/>
  <c r="K18" i="70"/>
  <c r="J12" i="70"/>
  <c r="L12" i="70" s="1"/>
  <c r="J7" i="70"/>
  <c r="L7" i="70" s="1"/>
  <c r="J15" i="70"/>
  <c r="L15" i="70" s="1"/>
  <c r="K15" i="70"/>
  <c r="K7" i="70"/>
  <c r="J4" i="70"/>
  <c r="L4" i="70" s="1"/>
  <c r="K5" i="70"/>
  <c r="K12" i="70"/>
  <c r="J18" i="70"/>
  <c r="L18" i="70" s="1"/>
  <c r="J10" i="70"/>
  <c r="L10" i="70" s="1"/>
  <c r="J9" i="70"/>
  <c r="L9" i="70" s="1"/>
  <c r="J17" i="70"/>
  <c r="L17" i="70" s="1"/>
  <c r="K13" i="70"/>
  <c r="K6" i="70"/>
  <c r="K14" i="70"/>
  <c r="J16" i="70"/>
  <c r="L16" i="70" s="1"/>
  <c r="J8" i="70"/>
  <c r="L8" i="70" s="1"/>
  <c r="J11" i="70"/>
  <c r="L11" i="70" s="1"/>
  <c r="J5" i="70"/>
  <c r="L5" i="70" s="1"/>
  <c r="D14" i="49" l="1"/>
  <c r="D37" i="49"/>
  <c r="F17" i="49"/>
  <c r="F15" i="49"/>
  <c r="AW181" i="36"/>
  <c r="BD41" i="36"/>
  <c r="AN12" i="36"/>
  <c r="AL12" i="36"/>
  <c r="AG6" i="36"/>
  <c r="AL6" i="36" s="1"/>
  <c r="AJ12" i="36"/>
  <c r="AQ12" i="36"/>
  <c r="BZ9" i="36"/>
  <c r="Z25" i="36"/>
  <c r="X25" i="36"/>
  <c r="AC25" i="36"/>
  <c r="V25" i="36"/>
  <c r="BU169" i="36"/>
  <c r="BW169" i="36"/>
  <c r="BZ169" i="36"/>
  <c r="BU160" i="36"/>
  <c r="BW160" i="36"/>
  <c r="BZ160" i="36"/>
  <c r="BU151" i="36"/>
  <c r="BW151" i="36"/>
  <c r="BZ151" i="36"/>
  <c r="BU139" i="36"/>
  <c r="BW139" i="36"/>
  <c r="BZ139" i="36"/>
  <c r="S166" i="36"/>
  <c r="S167" i="36"/>
  <c r="S165" i="36"/>
  <c r="S164" i="36"/>
  <c r="S168" i="36"/>
  <c r="S153" i="36"/>
  <c r="S161" i="36"/>
  <c r="S154" i="36"/>
  <c r="S158" i="36"/>
  <c r="S155" i="36"/>
  <c r="S152" i="36"/>
  <c r="S145" i="36"/>
  <c r="S146" i="36"/>
  <c r="S138" i="36"/>
  <c r="S137" i="36"/>
  <c r="S147" i="36"/>
  <c r="S144" i="36"/>
  <c r="S148" i="36"/>
  <c r="S143" i="36"/>
  <c r="S142" i="36"/>
  <c r="S141" i="36"/>
  <c r="V140" i="36"/>
  <c r="X140" i="36"/>
  <c r="Q50" i="36"/>
  <c r="Q166" i="36"/>
  <c r="O166" i="36"/>
  <c r="Q167" i="36"/>
  <c r="O167" i="36"/>
  <c r="Q165" i="36"/>
  <c r="O165" i="36"/>
  <c r="Q164" i="36"/>
  <c r="O164" i="36"/>
  <c r="Q168" i="36"/>
  <c r="O168" i="36"/>
  <c r="Q153" i="36"/>
  <c r="O153" i="36"/>
  <c r="Q161" i="36"/>
  <c r="O161" i="36"/>
  <c r="Q154" i="36"/>
  <c r="O154" i="36"/>
  <c r="Q158" i="36"/>
  <c r="O158" i="36"/>
  <c r="Q155" i="36"/>
  <c r="O155" i="36"/>
  <c r="Q152" i="36"/>
  <c r="O152" i="36"/>
  <c r="Q145" i="36"/>
  <c r="O145" i="36"/>
  <c r="Q146" i="36"/>
  <c r="O146" i="36"/>
  <c r="Q138" i="36"/>
  <c r="O138" i="36"/>
  <c r="Q147" i="36"/>
  <c r="O147" i="36"/>
  <c r="Q144" i="36"/>
  <c r="O144" i="36"/>
  <c r="Q143" i="36"/>
  <c r="O143" i="36"/>
  <c r="Q142" i="36"/>
  <c r="O142" i="36"/>
  <c r="Q141" i="36"/>
  <c r="O141" i="36"/>
  <c r="Q148" i="36"/>
  <c r="O148" i="36"/>
  <c r="Q137" i="36"/>
  <c r="O137" i="36"/>
  <c r="BS118" i="36"/>
  <c r="AQ129" i="36"/>
  <c r="AC98" i="36"/>
  <c r="AC69" i="36"/>
  <c r="V112" i="36"/>
  <c r="V98" i="36"/>
  <c r="V69" i="36"/>
  <c r="BW118" i="36"/>
  <c r="BU118" i="36"/>
  <c r="Q84" i="36"/>
  <c r="O84" i="36"/>
  <c r="Q68" i="36"/>
  <c r="O68" i="36"/>
  <c r="Q64" i="36"/>
  <c r="O64" i="36"/>
  <c r="Q55" i="36"/>
  <c r="O55" i="36"/>
  <c r="Q58" i="36"/>
  <c r="O58" i="36"/>
  <c r="Q81" i="36"/>
  <c r="O81" i="36"/>
  <c r="Q91" i="36"/>
  <c r="O91" i="36"/>
  <c r="Q103" i="36"/>
  <c r="O103" i="36"/>
  <c r="Q110" i="36"/>
  <c r="O110" i="36"/>
  <c r="Q102" i="36"/>
  <c r="O102" i="36"/>
  <c r="Q95" i="36"/>
  <c r="O95" i="36"/>
  <c r="Q96" i="36"/>
  <c r="O96" i="36"/>
  <c r="Q133" i="36"/>
  <c r="O133" i="36"/>
  <c r="Q82" i="36"/>
  <c r="O82" i="36"/>
  <c r="Q123" i="36"/>
  <c r="O123" i="36"/>
  <c r="Q124" i="36"/>
  <c r="O124" i="36"/>
  <c r="Q114" i="36"/>
  <c r="O114" i="36"/>
  <c r="Q51" i="36"/>
  <c r="O51" i="36"/>
  <c r="Q132" i="36"/>
  <c r="O132" i="36"/>
  <c r="Q70" i="36"/>
  <c r="O70" i="36"/>
  <c r="Q61" i="36"/>
  <c r="O61" i="36"/>
  <c r="Q101" i="36"/>
  <c r="O101" i="36"/>
  <c r="Q120" i="36"/>
  <c r="O120" i="36"/>
  <c r="Q113" i="36"/>
  <c r="O113" i="36"/>
  <c r="Q76" i="36"/>
  <c r="O76" i="36"/>
  <c r="Q86" i="36"/>
  <c r="O86" i="36"/>
  <c r="Q75" i="36"/>
  <c r="O75" i="36"/>
  <c r="Q106" i="36"/>
  <c r="O106" i="36"/>
  <c r="Q67" i="36"/>
  <c r="O67" i="36"/>
  <c r="Q122" i="36"/>
  <c r="O122" i="36"/>
  <c r="Q92" i="36"/>
  <c r="O92" i="36"/>
  <c r="Q78" i="36"/>
  <c r="O78" i="36"/>
  <c r="Q116" i="36"/>
  <c r="O116" i="36"/>
  <c r="Q65" i="36"/>
  <c r="O65" i="36"/>
  <c r="Q63" i="36"/>
  <c r="O63" i="36"/>
  <c r="Q100" i="36"/>
  <c r="O100" i="36"/>
  <c r="Q62" i="36"/>
  <c r="O62" i="36"/>
  <c r="Q127" i="36"/>
  <c r="O127" i="36"/>
  <c r="Q93" i="36"/>
  <c r="O93" i="36"/>
  <c r="Q56" i="36"/>
  <c r="O56" i="36"/>
  <c r="Q111" i="36"/>
  <c r="O111" i="36"/>
  <c r="Q125" i="36"/>
  <c r="O125" i="36"/>
  <c r="Q126" i="36"/>
  <c r="O126" i="36"/>
  <c r="Q119" i="36"/>
  <c r="O119" i="36"/>
  <c r="Q59" i="36"/>
  <c r="O59" i="36"/>
  <c r="Q60" i="36"/>
  <c r="O60" i="36"/>
  <c r="Q94" i="36"/>
  <c r="O94" i="36"/>
  <c r="Q80" i="36"/>
  <c r="O80" i="36"/>
  <c r="Q57" i="36"/>
  <c r="O57" i="36"/>
  <c r="Q117" i="36"/>
  <c r="O117" i="36"/>
  <c r="Q115" i="36"/>
  <c r="O115" i="36"/>
  <c r="Q130" i="36"/>
  <c r="O130" i="36"/>
  <c r="Q72" i="36"/>
  <c r="O72" i="36"/>
  <c r="Q73" i="36"/>
  <c r="O73" i="36"/>
  <c r="Q104" i="36"/>
  <c r="O104" i="36"/>
  <c r="Q128" i="36"/>
  <c r="O128" i="36"/>
  <c r="Q112" i="36"/>
  <c r="O112" i="36"/>
  <c r="Q98" i="36"/>
  <c r="O98" i="36"/>
  <c r="Q69" i="36"/>
  <c r="O69" i="36"/>
  <c r="X22" i="36"/>
  <c r="X21" i="36" s="1"/>
  <c r="U21" i="36"/>
  <c r="J15" i="36"/>
  <c r="G15" i="36"/>
  <c r="AX16" i="36"/>
  <c r="AZ16" i="36"/>
  <c r="BB16" i="36"/>
  <c r="X84" i="36"/>
  <c r="X68" i="36"/>
  <c r="X64" i="36"/>
  <c r="X55" i="36"/>
  <c r="X58" i="36"/>
  <c r="X81" i="36"/>
  <c r="X91" i="36"/>
  <c r="X103" i="36"/>
  <c r="X110" i="36"/>
  <c r="X102" i="36"/>
  <c r="X95" i="36"/>
  <c r="X96" i="36"/>
  <c r="X133" i="36"/>
  <c r="X82" i="36"/>
  <c r="X123" i="36"/>
  <c r="X124" i="36"/>
  <c r="X114" i="36"/>
  <c r="X51" i="36"/>
  <c r="X132" i="36"/>
  <c r="X70" i="36"/>
  <c r="X61" i="36"/>
  <c r="X101" i="36"/>
  <c r="X120" i="36"/>
  <c r="X113" i="36"/>
  <c r="X76" i="36"/>
  <c r="X86" i="36"/>
  <c r="X75" i="36"/>
  <c r="X106" i="36"/>
  <c r="X67" i="36"/>
  <c r="X122" i="36"/>
  <c r="X92" i="36"/>
  <c r="X78" i="36"/>
  <c r="X116" i="36"/>
  <c r="X65" i="36"/>
  <c r="X63" i="36"/>
  <c r="X100" i="36"/>
  <c r="X62" i="36"/>
  <c r="X127" i="36"/>
  <c r="X93" i="36"/>
  <c r="X56" i="36"/>
  <c r="X111" i="36"/>
  <c r="X125" i="36"/>
  <c r="X126" i="36"/>
  <c r="X119" i="36"/>
  <c r="X59" i="36"/>
  <c r="X60" i="36"/>
  <c r="X94" i="36"/>
  <c r="X80" i="36"/>
  <c r="X57" i="36"/>
  <c r="X117" i="36"/>
  <c r="X115" i="36"/>
  <c r="X130" i="36"/>
  <c r="X72" i="36"/>
  <c r="X73" i="36"/>
  <c r="X104" i="36"/>
  <c r="X128" i="36"/>
  <c r="X112" i="36"/>
  <c r="AE98" i="36"/>
  <c r="AS129" i="36"/>
  <c r="AE69" i="36"/>
  <c r="AJ6" i="36"/>
  <c r="CD9" i="36"/>
  <c r="CB9" i="36"/>
  <c r="A147" i="71"/>
  <c r="A170" i="71" s="1"/>
  <c r="A176" i="71"/>
  <c r="A1" i="71"/>
  <c r="K6" i="71"/>
  <c r="CH180" i="36"/>
  <c r="AW163" i="36"/>
  <c r="D10" i="49" s="1"/>
  <c r="AR41" i="36"/>
  <c r="AR182" i="36" s="1"/>
  <c r="AP150" i="36"/>
  <c r="N150" i="36"/>
  <c r="U163" i="36"/>
  <c r="N163" i="36"/>
  <c r="P41" i="36"/>
  <c r="P182" i="36" s="1"/>
  <c r="J22" i="36"/>
  <c r="J21" i="36" s="1"/>
  <c r="AP42" i="36"/>
  <c r="AB135" i="36"/>
  <c r="G4" i="36"/>
  <c r="G180" i="36" s="1"/>
  <c r="AB150" i="36"/>
  <c r="AI150" i="36"/>
  <c r="Q150" i="36"/>
  <c r="N135" i="36"/>
  <c r="AR38" i="36"/>
  <c r="AR39" i="36" s="1"/>
  <c r="AK41" i="36"/>
  <c r="AK182" i="36" s="1"/>
  <c r="I41" i="36"/>
  <c r="I182" i="36" s="1"/>
  <c r="P4" i="36"/>
  <c r="P180" i="36" s="1"/>
  <c r="AB24" i="36"/>
  <c r="AB181" i="36" s="1"/>
  <c r="AB42" i="36"/>
  <c r="N24" i="36"/>
  <c r="N181" i="36" s="1"/>
  <c r="G150" i="36"/>
  <c r="AP24" i="36"/>
  <c r="AP181" i="36" s="1"/>
  <c r="U150" i="36"/>
  <c r="G42" i="36"/>
  <c r="U42" i="36"/>
  <c r="G135" i="36"/>
  <c r="I4" i="36"/>
  <c r="I38" i="36" s="1"/>
  <c r="I39" i="36" s="1"/>
  <c r="U135" i="36"/>
  <c r="AP135" i="36"/>
  <c r="W41" i="36"/>
  <c r="W182" i="36" s="1"/>
  <c r="G163" i="36"/>
  <c r="AI42" i="36"/>
  <c r="AI135" i="36"/>
  <c r="AI24" i="36"/>
  <c r="AI181" i="36" s="1"/>
  <c r="AI163" i="36"/>
  <c r="U4" i="36"/>
  <c r="U180" i="36" s="1"/>
  <c r="G24" i="36"/>
  <c r="G181" i="36" s="1"/>
  <c r="W4" i="36"/>
  <c r="W38" i="36" s="1"/>
  <c r="W39" i="36" s="1"/>
  <c r="U24" i="36"/>
  <c r="U181" i="36" s="1"/>
  <c r="AP163" i="36"/>
  <c r="N42" i="36"/>
  <c r="AB163" i="36"/>
  <c r="AW150" i="36"/>
  <c r="D11" i="49" s="1"/>
  <c r="AW135" i="36"/>
  <c r="D9" i="49" s="1"/>
  <c r="BY182" i="36"/>
  <c r="BD172" i="36"/>
  <c r="BR182" i="36"/>
  <c r="L41" i="36"/>
  <c r="L182" i="36" s="1"/>
  <c r="AR180" i="36"/>
  <c r="E41" i="36"/>
  <c r="E182" i="36" s="1"/>
  <c r="Q135" i="36"/>
  <c r="H42" i="36"/>
  <c r="H41" i="36" s="1"/>
  <c r="H182" i="36" s="1"/>
  <c r="AY172" i="36"/>
  <c r="AY180" i="36"/>
  <c r="O42" i="36"/>
  <c r="O135" i="36"/>
  <c r="CF182" i="36"/>
  <c r="J42" i="36"/>
  <c r="BT180" i="36"/>
  <c r="BT172" i="36"/>
  <c r="BM180" i="36"/>
  <c r="BM172" i="36"/>
  <c r="Q42" i="36"/>
  <c r="J24" i="36"/>
  <c r="J181" i="36" s="1"/>
  <c r="CA180" i="36"/>
  <c r="BF180" i="36"/>
  <c r="BF172" i="36"/>
  <c r="J163" i="36"/>
  <c r="H24" i="36"/>
  <c r="H181" i="36" s="1"/>
  <c r="AK38" i="36"/>
  <c r="AK39" i="36" s="1"/>
  <c r="AK180" i="36"/>
  <c r="J150" i="36"/>
  <c r="Q24" i="36"/>
  <c r="Q181" i="36" s="1"/>
  <c r="AD38" i="36"/>
  <c r="AD39" i="36" s="1"/>
  <c r="AD172" i="36"/>
  <c r="AD180" i="36"/>
  <c r="Q163" i="36"/>
  <c r="CA182" i="36"/>
  <c r="CA172" i="36"/>
  <c r="CH182" i="36"/>
  <c r="CH172" i="36"/>
  <c r="J135" i="36"/>
  <c r="M4" i="65"/>
  <c r="A187" i="66"/>
  <c r="M4" i="70"/>
  <c r="F65" i="49" l="1"/>
  <c r="F67" i="49" s="1"/>
  <c r="F71" i="49" s="1"/>
  <c r="F73" i="49"/>
  <c r="D15" i="49"/>
  <c r="D17" i="49"/>
  <c r="AU12" i="36"/>
  <c r="AS12" i="36"/>
  <c r="AN6" i="36"/>
  <c r="AS6" i="36" s="1"/>
  <c r="CG9" i="36"/>
  <c r="AG25" i="36"/>
  <c r="AE25" i="36"/>
  <c r="CB169" i="36"/>
  <c r="CD169" i="36"/>
  <c r="CI169" i="36" s="1"/>
  <c r="CG169" i="36"/>
  <c r="CB151" i="36"/>
  <c r="CD151" i="36"/>
  <c r="CI151" i="36" s="1"/>
  <c r="CG151" i="36"/>
  <c r="CB160" i="36"/>
  <c r="CD160" i="36"/>
  <c r="CI160" i="36" s="1"/>
  <c r="CG160" i="36"/>
  <c r="CB139" i="36"/>
  <c r="CD139" i="36"/>
  <c r="CI139" i="36" s="1"/>
  <c r="CG139" i="36"/>
  <c r="Z168" i="36"/>
  <c r="Z164" i="36"/>
  <c r="Z165" i="36"/>
  <c r="Z167" i="36"/>
  <c r="Z166" i="36"/>
  <c r="Z152" i="36"/>
  <c r="Z155" i="36"/>
  <c r="Z158" i="36"/>
  <c r="Z154" i="36"/>
  <c r="Z161" i="36"/>
  <c r="Z153" i="36"/>
  <c r="Z141" i="36"/>
  <c r="Z142" i="36"/>
  <c r="Z143" i="36"/>
  <c r="Z148" i="36"/>
  <c r="Z144" i="36"/>
  <c r="Z147" i="36"/>
  <c r="Z137" i="36"/>
  <c r="Z138" i="36"/>
  <c r="Z146" i="36"/>
  <c r="Z145" i="36"/>
  <c r="AC159" i="36"/>
  <c r="V159" i="36"/>
  <c r="X159" i="36"/>
  <c r="AE140" i="36"/>
  <c r="AC140" i="36"/>
  <c r="AJ140" i="36"/>
  <c r="X50" i="36"/>
  <c r="AC50" i="36"/>
  <c r="V50" i="36"/>
  <c r="V164" i="36"/>
  <c r="AE142" i="36"/>
  <c r="AC142" i="36"/>
  <c r="X168" i="36"/>
  <c r="V168" i="36"/>
  <c r="X164" i="36"/>
  <c r="X165" i="36"/>
  <c r="V165" i="36"/>
  <c r="X167" i="36"/>
  <c r="V167" i="36"/>
  <c r="X166" i="36"/>
  <c r="V166" i="36"/>
  <c r="X152" i="36"/>
  <c r="V152" i="36"/>
  <c r="X155" i="36"/>
  <c r="V155" i="36"/>
  <c r="X158" i="36"/>
  <c r="V158" i="36"/>
  <c r="X154" i="36"/>
  <c r="V154" i="36"/>
  <c r="X161" i="36"/>
  <c r="V161" i="36"/>
  <c r="X153" i="36"/>
  <c r="V153" i="36"/>
  <c r="X148" i="36"/>
  <c r="V148" i="36"/>
  <c r="X141" i="36"/>
  <c r="V141" i="36"/>
  <c r="X143" i="36"/>
  <c r="V143" i="36"/>
  <c r="X144" i="36"/>
  <c r="V144" i="36"/>
  <c r="X147" i="36"/>
  <c r="V147" i="36"/>
  <c r="X138" i="36"/>
  <c r="V138" i="36"/>
  <c r="X146" i="36"/>
  <c r="V146" i="36"/>
  <c r="X145" i="36"/>
  <c r="V145" i="36"/>
  <c r="X137" i="36"/>
  <c r="V137" i="36"/>
  <c r="X142" i="36"/>
  <c r="V142" i="36"/>
  <c r="BZ118" i="36"/>
  <c r="AX129" i="36"/>
  <c r="AJ98" i="36"/>
  <c r="AJ69" i="36"/>
  <c r="AC112" i="36"/>
  <c r="V128" i="36"/>
  <c r="V104" i="36"/>
  <c r="AC104" i="36"/>
  <c r="V73" i="36"/>
  <c r="V72" i="36"/>
  <c r="V130" i="36"/>
  <c r="V115" i="36"/>
  <c r="V117" i="36"/>
  <c r="V57" i="36"/>
  <c r="V80" i="36"/>
  <c r="V94" i="36"/>
  <c r="V60" i="36"/>
  <c r="V59" i="36"/>
  <c r="V119" i="36"/>
  <c r="V126" i="36"/>
  <c r="V125" i="36"/>
  <c r="AC125" i="36"/>
  <c r="V111" i="36"/>
  <c r="V56" i="36"/>
  <c r="V93" i="36"/>
  <c r="V127" i="36"/>
  <c r="V62" i="36"/>
  <c r="V100" i="36"/>
  <c r="V63" i="36"/>
  <c r="V65" i="36"/>
  <c r="V116" i="36"/>
  <c r="V78" i="36"/>
  <c r="V92" i="36"/>
  <c r="V122" i="36"/>
  <c r="V67" i="36"/>
  <c r="V106" i="36"/>
  <c r="V75" i="36"/>
  <c r="AC75" i="36"/>
  <c r="V86" i="36"/>
  <c r="V76" i="36"/>
  <c r="V113" i="36"/>
  <c r="V120" i="36"/>
  <c r="V101" i="36"/>
  <c r="V61" i="36"/>
  <c r="V70" i="36"/>
  <c r="V132" i="36"/>
  <c r="V51" i="36"/>
  <c r="V114" i="36"/>
  <c r="V124" i="36"/>
  <c r="V123" i="36"/>
  <c r="V82" i="36"/>
  <c r="V133" i="36"/>
  <c r="V96" i="36"/>
  <c r="V95" i="36"/>
  <c r="V102" i="36"/>
  <c r="AC102" i="36"/>
  <c r="V110" i="36"/>
  <c r="V103" i="36"/>
  <c r="V91" i="36"/>
  <c r="V81" i="36"/>
  <c r="V58" i="36"/>
  <c r="V55" i="36"/>
  <c r="V64" i="36"/>
  <c r="V68" i="36"/>
  <c r="V84" i="36"/>
  <c r="CD118" i="36"/>
  <c r="CG118" i="36" s="1"/>
  <c r="CB118" i="36"/>
  <c r="BE16" i="36"/>
  <c r="BG16" i="36"/>
  <c r="BI16" i="36"/>
  <c r="AE112" i="36"/>
  <c r="AE75" i="36"/>
  <c r="AE104" i="36"/>
  <c r="AE125" i="36"/>
  <c r="AE102" i="36"/>
  <c r="AL69" i="36"/>
  <c r="AZ129" i="36"/>
  <c r="AL98" i="36"/>
  <c r="CI9" i="36"/>
  <c r="AQ6" i="36"/>
  <c r="Z163" i="36"/>
  <c r="Z150" i="36"/>
  <c r="Z135" i="36"/>
  <c r="Z42" i="36"/>
  <c r="Z41" i="36" s="1"/>
  <c r="Z182" i="36" s="1"/>
  <c r="S163" i="36"/>
  <c r="O163" i="36"/>
  <c r="S150" i="36"/>
  <c r="V150" i="36"/>
  <c r="X150" i="36"/>
  <c r="O150" i="36"/>
  <c r="S135" i="36"/>
  <c r="V135" i="36"/>
  <c r="S42" i="36"/>
  <c r="S41" i="36" s="1"/>
  <c r="S182" i="36" s="1"/>
  <c r="Z24" i="36"/>
  <c r="V24" i="36"/>
  <c r="V181" i="36" s="1"/>
  <c r="S24" i="36"/>
  <c r="X24" i="36"/>
  <c r="X181" i="36" s="1"/>
  <c r="K17" i="67"/>
  <c r="K13" i="67"/>
  <c r="K9" i="67"/>
  <c r="K5" i="67"/>
  <c r="J16" i="68"/>
  <c r="L16" i="68" s="1"/>
  <c r="J12" i="68"/>
  <c r="L12" i="68" s="1"/>
  <c r="J8" i="68"/>
  <c r="L8" i="68" s="1"/>
  <c r="J4" i="68"/>
  <c r="L4" i="68" s="1"/>
  <c r="J15" i="67"/>
  <c r="L15" i="67" s="1"/>
  <c r="J11" i="67"/>
  <c r="L11" i="67" s="1"/>
  <c r="J7" i="67"/>
  <c r="L7" i="67" s="1"/>
  <c r="K18" i="68"/>
  <c r="K14" i="68"/>
  <c r="K10" i="68"/>
  <c r="K6" i="68"/>
  <c r="K18" i="67"/>
  <c r="K14" i="67"/>
  <c r="K10" i="67"/>
  <c r="K6" i="67"/>
  <c r="J17" i="68"/>
  <c r="L17" i="68" s="1"/>
  <c r="J13" i="68"/>
  <c r="L13" i="68" s="1"/>
  <c r="J9" i="68"/>
  <c r="L9" i="68" s="1"/>
  <c r="J5" i="68"/>
  <c r="L5" i="68" s="1"/>
  <c r="J16" i="67"/>
  <c r="L16" i="67" s="1"/>
  <c r="J12" i="67"/>
  <c r="L12" i="67" s="1"/>
  <c r="J8" i="67"/>
  <c r="L8" i="67" s="1"/>
  <c r="J4" i="67"/>
  <c r="L4" i="67" s="1"/>
  <c r="K15" i="68"/>
  <c r="K11" i="68"/>
  <c r="K7" i="68"/>
  <c r="K15" i="67"/>
  <c r="K11" i="67"/>
  <c r="K7" i="67"/>
  <c r="J18" i="68"/>
  <c r="L18" i="68" s="1"/>
  <c r="J14" i="68"/>
  <c r="L14" i="68" s="1"/>
  <c r="J10" i="68"/>
  <c r="L10" i="68" s="1"/>
  <c r="J6" i="68"/>
  <c r="L6" i="68" s="1"/>
  <c r="J17" i="67"/>
  <c r="L17" i="67" s="1"/>
  <c r="J13" i="67"/>
  <c r="L13" i="67" s="1"/>
  <c r="J9" i="67"/>
  <c r="L9" i="67" s="1"/>
  <c r="J5" i="67"/>
  <c r="L5" i="67" s="1"/>
  <c r="K16" i="68"/>
  <c r="K12" i="68"/>
  <c r="K8" i="68"/>
  <c r="K4" i="68"/>
  <c r="K16" i="67"/>
  <c r="K12" i="67"/>
  <c r="K8" i="67"/>
  <c r="K4" i="67"/>
  <c r="J15" i="68"/>
  <c r="L15" i="68" s="1"/>
  <c r="J11" i="68"/>
  <c r="L11" i="68" s="1"/>
  <c r="J7" i="68"/>
  <c r="L7" i="68" s="1"/>
  <c r="J18" i="67"/>
  <c r="L18" i="67" s="1"/>
  <c r="J14" i="67"/>
  <c r="L14" i="67" s="1"/>
  <c r="J10" i="67"/>
  <c r="L10" i="67" s="1"/>
  <c r="J6" i="67"/>
  <c r="L6" i="67" s="1"/>
  <c r="K17" i="68"/>
  <c r="K13" i="68"/>
  <c r="K9" i="68"/>
  <c r="K5" i="68"/>
  <c r="K10" i="71"/>
  <c r="K18" i="71"/>
  <c r="J12" i="71"/>
  <c r="L12" i="71" s="1"/>
  <c r="K14" i="71"/>
  <c r="J8" i="71"/>
  <c r="L8" i="71" s="1"/>
  <c r="J16" i="71"/>
  <c r="L16" i="71" s="1"/>
  <c r="J7" i="71"/>
  <c r="L7" i="71" s="1"/>
  <c r="J11" i="71"/>
  <c r="L11" i="71" s="1"/>
  <c r="J15" i="71"/>
  <c r="L15" i="71" s="1"/>
  <c r="K5" i="71"/>
  <c r="K9" i="71"/>
  <c r="K13" i="71"/>
  <c r="K17" i="71"/>
  <c r="K8" i="71"/>
  <c r="K12" i="71"/>
  <c r="K16" i="71"/>
  <c r="J6" i="71"/>
  <c r="L6" i="71" s="1"/>
  <c r="J10" i="71"/>
  <c r="L10" i="71" s="1"/>
  <c r="J14" i="71"/>
  <c r="L14" i="71" s="1"/>
  <c r="J18" i="71"/>
  <c r="L18" i="71" s="1"/>
  <c r="J5" i="71"/>
  <c r="L5" i="71" s="1"/>
  <c r="J9" i="71"/>
  <c r="L9" i="71" s="1"/>
  <c r="J13" i="71"/>
  <c r="L13" i="71" s="1"/>
  <c r="J17" i="71"/>
  <c r="L17" i="71" s="1"/>
  <c r="K7" i="71"/>
  <c r="K11" i="71"/>
  <c r="K15" i="71"/>
  <c r="J4" i="71"/>
  <c r="K4" i="71"/>
  <c r="I3" i="71"/>
  <c r="AR172" i="36"/>
  <c r="AI4" i="36"/>
  <c r="AI180" i="36" s="1"/>
  <c r="AP41" i="36"/>
  <c r="AP182" i="36" s="1"/>
  <c r="P38" i="36"/>
  <c r="P39" i="36" s="1"/>
  <c r="AB4" i="36"/>
  <c r="W172" i="36"/>
  <c r="I172" i="36"/>
  <c r="AK172" i="36"/>
  <c r="I180" i="36"/>
  <c r="U41" i="36"/>
  <c r="U182" i="36" s="1"/>
  <c r="N41" i="36"/>
  <c r="N182" i="36" s="1"/>
  <c r="P172" i="36"/>
  <c r="N4" i="36"/>
  <c r="N180" i="36" s="1"/>
  <c r="AP4" i="36"/>
  <c r="AP38" i="36" s="1"/>
  <c r="AP39" i="36" s="1"/>
  <c r="AW41" i="36"/>
  <c r="AW182" i="36" s="1"/>
  <c r="AB41" i="36"/>
  <c r="AB182" i="36" s="1"/>
  <c r="G41" i="36"/>
  <c r="G172" i="36" s="1"/>
  <c r="AI41" i="36"/>
  <c r="AI182" i="36" s="1"/>
  <c r="W180" i="36"/>
  <c r="G38" i="36"/>
  <c r="G39" i="36" s="1"/>
  <c r="U38" i="36"/>
  <c r="U39" i="36" s="1"/>
  <c r="AZ15" i="36"/>
  <c r="AU15" i="36"/>
  <c r="BK180" i="36"/>
  <c r="BR180" i="36"/>
  <c r="BR172" i="36"/>
  <c r="J41" i="36"/>
  <c r="J182" i="36" s="1"/>
  <c r="O41" i="36"/>
  <c r="Q41" i="36"/>
  <c r="Q182" i="36" s="1"/>
  <c r="BK182" i="36"/>
  <c r="BK172" i="36"/>
  <c r="CF172" i="36"/>
  <c r="CF180" i="36"/>
  <c r="BD181" i="36"/>
  <c r="BD38" i="36"/>
  <c r="BD39" i="36" s="1"/>
  <c r="A189" i="66"/>
  <c r="A194" i="66" s="1"/>
  <c r="A205" i="66" s="1"/>
  <c r="K15" i="66" s="1"/>
  <c r="C24" i="36"/>
  <c r="F77" i="49" l="1"/>
  <c r="F80" i="49" s="1"/>
  <c r="F87" i="49"/>
  <c r="F90" i="49" s="1"/>
  <c r="D65" i="49"/>
  <c r="D67" i="49" s="1"/>
  <c r="L4" i="71"/>
  <c r="M4" i="71" s="1"/>
  <c r="BB12" i="36"/>
  <c r="AU6" i="36"/>
  <c r="AZ12" i="36"/>
  <c r="AX12" i="36"/>
  <c r="BE12" i="36"/>
  <c r="AN25" i="36"/>
  <c r="AL25" i="36"/>
  <c r="AQ25" i="36"/>
  <c r="AJ25" i="36"/>
  <c r="AG166" i="36"/>
  <c r="AG167" i="36"/>
  <c r="AG165" i="36"/>
  <c r="AG164" i="36"/>
  <c r="AG168" i="36"/>
  <c r="AG153" i="36"/>
  <c r="AG161" i="36"/>
  <c r="AG154" i="36"/>
  <c r="AG158" i="36"/>
  <c r="AG155" i="36"/>
  <c r="AG152" i="36"/>
  <c r="AG145" i="36"/>
  <c r="AG146" i="36"/>
  <c r="AG138" i="36"/>
  <c r="AG137" i="36"/>
  <c r="AG147" i="36"/>
  <c r="AG144" i="36"/>
  <c r="AG148" i="36"/>
  <c r="AG143" i="36"/>
  <c r="AG142" i="36"/>
  <c r="AG141" i="36"/>
  <c r="AN142" i="36"/>
  <c r="AL142" i="36"/>
  <c r="AE159" i="36"/>
  <c r="AL140" i="36"/>
  <c r="AE50" i="36"/>
  <c r="AL166" i="36"/>
  <c r="AJ166" i="36"/>
  <c r="AL167" i="36"/>
  <c r="AJ167" i="36"/>
  <c r="AL165" i="36"/>
  <c r="AJ165" i="36"/>
  <c r="AL164" i="36"/>
  <c r="AJ164" i="36"/>
  <c r="AL168" i="36"/>
  <c r="AJ168" i="36"/>
  <c r="AL153" i="36"/>
  <c r="AJ153" i="36"/>
  <c r="AL161" i="36"/>
  <c r="AJ161" i="36"/>
  <c r="AL154" i="36"/>
  <c r="AJ154" i="36"/>
  <c r="AL158" i="36"/>
  <c r="AJ158" i="36"/>
  <c r="AL155" i="36"/>
  <c r="AJ155" i="36"/>
  <c r="AL152" i="36"/>
  <c r="AJ152" i="36"/>
  <c r="AL137" i="36"/>
  <c r="AJ137" i="36"/>
  <c r="AL145" i="36"/>
  <c r="AJ145" i="36"/>
  <c r="AL146" i="36"/>
  <c r="AJ146" i="36"/>
  <c r="AL138" i="36"/>
  <c r="AJ138" i="36"/>
  <c r="AL147" i="36"/>
  <c r="AJ147" i="36"/>
  <c r="AL144" i="36"/>
  <c r="AJ144" i="36"/>
  <c r="AL143" i="36"/>
  <c r="AJ143" i="36"/>
  <c r="AL141" i="36"/>
  <c r="AJ141" i="36"/>
  <c r="AL148" i="36"/>
  <c r="AJ148" i="36"/>
  <c r="AE166" i="36"/>
  <c r="AC166" i="36"/>
  <c r="AE167" i="36"/>
  <c r="AC167" i="36"/>
  <c r="AE165" i="36"/>
  <c r="AC165" i="36"/>
  <c r="AE164" i="36"/>
  <c r="AC164" i="36"/>
  <c r="AE168" i="36"/>
  <c r="AC168" i="36"/>
  <c r="AE153" i="36"/>
  <c r="AC153" i="36"/>
  <c r="AE161" i="36"/>
  <c r="AC161" i="36"/>
  <c r="AE154" i="36"/>
  <c r="AC154" i="36"/>
  <c r="AE158" i="36"/>
  <c r="AC158" i="36"/>
  <c r="AE155" i="36"/>
  <c r="AC155" i="36"/>
  <c r="AE152" i="36"/>
  <c r="AC152" i="36"/>
  <c r="AE137" i="36"/>
  <c r="AC137" i="36"/>
  <c r="AE145" i="36"/>
  <c r="AC145" i="36"/>
  <c r="AE146" i="36"/>
  <c r="AC146" i="36"/>
  <c r="AE138" i="36"/>
  <c r="AC138" i="36"/>
  <c r="AE147" i="36"/>
  <c r="AC147" i="36"/>
  <c r="AE144" i="36"/>
  <c r="AC144" i="36"/>
  <c r="AE143" i="36"/>
  <c r="AC143" i="36"/>
  <c r="AE141" i="36"/>
  <c r="AC141" i="36"/>
  <c r="AE148" i="36"/>
  <c r="AC148" i="36"/>
  <c r="AC135" i="36"/>
  <c r="BE129" i="36"/>
  <c r="AQ98" i="36"/>
  <c r="AQ69" i="36"/>
  <c r="AJ102" i="36"/>
  <c r="AJ104" i="36"/>
  <c r="AJ125" i="36"/>
  <c r="AJ75" i="36"/>
  <c r="AJ112" i="36"/>
  <c r="AC84" i="36"/>
  <c r="AC68" i="36"/>
  <c r="AC64" i="36"/>
  <c r="AC55" i="36"/>
  <c r="AC58" i="36"/>
  <c r="AC81" i="36"/>
  <c r="AC91" i="36"/>
  <c r="AC103" i="36"/>
  <c r="AC110" i="36"/>
  <c r="AC95" i="36"/>
  <c r="AC96" i="36"/>
  <c r="AC133" i="36"/>
  <c r="AC82" i="36"/>
  <c r="AC123" i="36"/>
  <c r="AC124" i="36"/>
  <c r="AC114" i="36"/>
  <c r="AC51" i="36"/>
  <c r="AC132" i="36"/>
  <c r="AC70" i="36"/>
  <c r="AC61" i="36"/>
  <c r="AC101" i="36"/>
  <c r="AC120" i="36"/>
  <c r="AC113" i="36"/>
  <c r="AC76" i="36"/>
  <c r="AC86" i="36"/>
  <c r="AC106" i="36"/>
  <c r="AC67" i="36"/>
  <c r="AC122" i="36"/>
  <c r="AC92" i="36"/>
  <c r="AC78" i="36"/>
  <c r="AC116" i="36"/>
  <c r="AC65" i="36"/>
  <c r="AC63" i="36"/>
  <c r="AC100" i="36"/>
  <c r="AC62" i="36"/>
  <c r="AC127" i="36"/>
  <c r="AC93" i="36"/>
  <c r="AC56" i="36"/>
  <c r="AC111" i="36"/>
  <c r="AC126" i="36"/>
  <c r="AC119" i="36"/>
  <c r="AC59" i="36"/>
  <c r="AC60" i="36"/>
  <c r="AC94" i="36"/>
  <c r="AC80" i="36"/>
  <c r="AC57" i="36"/>
  <c r="AC117" i="36"/>
  <c r="AC115" i="36"/>
  <c r="AC130" i="36"/>
  <c r="AC72" i="36"/>
  <c r="AC73" i="36"/>
  <c r="AC128" i="36"/>
  <c r="CI118" i="36"/>
  <c r="BL16" i="36"/>
  <c r="BN16" i="36"/>
  <c r="BP16" i="36"/>
  <c r="BG15" i="36"/>
  <c r="AL75" i="36"/>
  <c r="AL112" i="36"/>
  <c r="BG129" i="36"/>
  <c r="BI129" i="36"/>
  <c r="AS69" i="36"/>
  <c r="AE84" i="36"/>
  <c r="AE68" i="36"/>
  <c r="AE64" i="36"/>
  <c r="AE55" i="36"/>
  <c r="AE58" i="36"/>
  <c r="AE81" i="36"/>
  <c r="AE91" i="36"/>
  <c r="AE103" i="36"/>
  <c r="AE110" i="36"/>
  <c r="AE95" i="36"/>
  <c r="AE96" i="36"/>
  <c r="AE133" i="36"/>
  <c r="AE82" i="36"/>
  <c r="AE123" i="36"/>
  <c r="AE124" i="36"/>
  <c r="AE114" i="36"/>
  <c r="AE51" i="36"/>
  <c r="AE132" i="36"/>
  <c r="AE70" i="36"/>
  <c r="AE61" i="36"/>
  <c r="AE101" i="36"/>
  <c r="AE120" i="36"/>
  <c r="AE113" i="36"/>
  <c r="AE76" i="36"/>
  <c r="AE86" i="36"/>
  <c r="AE106" i="36"/>
  <c r="AE67" i="36"/>
  <c r="AE122" i="36"/>
  <c r="AE92" i="36"/>
  <c r="AE78" i="36"/>
  <c r="AE116" i="36"/>
  <c r="AE65" i="36"/>
  <c r="AE63" i="36"/>
  <c r="AE100" i="36"/>
  <c r="AE62" i="36"/>
  <c r="AE127" i="36"/>
  <c r="AE93" i="36"/>
  <c r="AE56" i="36"/>
  <c r="AE111" i="36"/>
  <c r="AL125" i="36"/>
  <c r="AE126" i="36"/>
  <c r="AE119" i="36"/>
  <c r="AE59" i="36"/>
  <c r="AE60" i="36"/>
  <c r="AE94" i="36"/>
  <c r="AE80" i="36"/>
  <c r="AE57" i="36"/>
  <c r="AE117" i="36"/>
  <c r="AE115" i="36"/>
  <c r="AE130" i="36"/>
  <c r="AE72" i="36"/>
  <c r="AE73" i="36"/>
  <c r="AE128" i="36"/>
  <c r="AL102" i="36"/>
  <c r="AL104" i="36"/>
  <c r="AS98" i="36"/>
  <c r="AX6" i="36"/>
  <c r="V4" i="36"/>
  <c r="E4" i="36"/>
  <c r="J4" i="36" s="1"/>
  <c r="Z181" i="36"/>
  <c r="AE42" i="36"/>
  <c r="AC42" i="36"/>
  <c r="AE135" i="36"/>
  <c r="AE163" i="36"/>
  <c r="AC163" i="36"/>
  <c r="X42" i="36"/>
  <c r="V42" i="36"/>
  <c r="X135" i="36"/>
  <c r="X163" i="36"/>
  <c r="V163" i="36"/>
  <c r="AE24" i="36"/>
  <c r="AE181" i="36" s="1"/>
  <c r="AC24" i="36"/>
  <c r="S181" i="36"/>
  <c r="M4" i="67"/>
  <c r="M4" i="68"/>
  <c r="AI38" i="36"/>
  <c r="AI39" i="36" s="1"/>
  <c r="AB38" i="36"/>
  <c r="AB39" i="36" s="1"/>
  <c r="AP180" i="36"/>
  <c r="AB180" i="36"/>
  <c r="G182" i="36"/>
  <c r="AI172" i="36"/>
  <c r="U172" i="36"/>
  <c r="N38" i="36"/>
  <c r="N39" i="36" s="1"/>
  <c r="AB172" i="36"/>
  <c r="N172" i="36"/>
  <c r="AP172" i="36"/>
  <c r="BB15" i="36"/>
  <c r="AX15" i="36"/>
  <c r="O182" i="36"/>
  <c r="BY180" i="36"/>
  <c r="BY172" i="36"/>
  <c r="BD182" i="36"/>
  <c r="BD180" i="36"/>
  <c r="J4" i="66"/>
  <c r="L4" i="66" s="1"/>
  <c r="K4" i="66"/>
  <c r="K5" i="66"/>
  <c r="J5" i="66"/>
  <c r="L5" i="66" s="1"/>
  <c r="K6" i="66"/>
  <c r="J6" i="66"/>
  <c r="L6" i="66" s="1"/>
  <c r="J7" i="66"/>
  <c r="L7" i="66" s="1"/>
  <c r="K7" i="66"/>
  <c r="K8" i="66"/>
  <c r="J8" i="66"/>
  <c r="L8" i="66" s="1"/>
  <c r="J9" i="66"/>
  <c r="L9" i="66" s="1"/>
  <c r="K9" i="66"/>
  <c r="K10" i="66"/>
  <c r="J10" i="66"/>
  <c r="L10" i="66" s="1"/>
  <c r="K14" i="66"/>
  <c r="K12" i="66"/>
  <c r="J14" i="66"/>
  <c r="L14" i="66" s="1"/>
  <c r="J16" i="66"/>
  <c r="L16" i="66" s="1"/>
  <c r="J17" i="66"/>
  <c r="L17" i="66" s="1"/>
  <c r="J11" i="66"/>
  <c r="L11" i="66" s="1"/>
  <c r="J12" i="66"/>
  <c r="L12" i="66" s="1"/>
  <c r="I3" i="66"/>
  <c r="J13" i="66"/>
  <c r="L13" i="66" s="1"/>
  <c r="K11" i="66"/>
  <c r="K16" i="66"/>
  <c r="K17" i="66"/>
  <c r="K18" i="66"/>
  <c r="J15" i="66"/>
  <c r="L15" i="66" s="1"/>
  <c r="K13" i="66"/>
  <c r="J18" i="66"/>
  <c r="L18" i="66" s="1"/>
  <c r="C181" i="36"/>
  <c r="C6" i="36"/>
  <c r="AW38" i="36" s="1"/>
  <c r="AW39" i="36" s="1"/>
  <c r="C21" i="36"/>
  <c r="C15" i="36"/>
  <c r="D71" i="49" l="1"/>
  <c r="D73" i="49" s="1"/>
  <c r="D87" i="49" s="1"/>
  <c r="D90" i="49" s="1"/>
  <c r="D77" i="49"/>
  <c r="AZ6" i="36"/>
  <c r="C6" i="49"/>
  <c r="C88" i="49" s="1"/>
  <c r="L83" i="49"/>
  <c r="BI12" i="36"/>
  <c r="BG12" i="36"/>
  <c r="BB6" i="36"/>
  <c r="BL12" i="36"/>
  <c r="AU25" i="36"/>
  <c r="AS25" i="36"/>
  <c r="AJ142" i="36"/>
  <c r="AN168" i="36"/>
  <c r="AQ168" i="36"/>
  <c r="AN164" i="36"/>
  <c r="AQ164" i="36"/>
  <c r="AN165" i="36"/>
  <c r="AQ165" i="36"/>
  <c r="AN167" i="36"/>
  <c r="AQ167" i="36"/>
  <c r="AN166" i="36"/>
  <c r="AQ166" i="36"/>
  <c r="AN152" i="36"/>
  <c r="AQ152" i="36"/>
  <c r="AN155" i="36"/>
  <c r="AQ155" i="36"/>
  <c r="AN158" i="36"/>
  <c r="AQ158" i="36"/>
  <c r="AN154" i="36"/>
  <c r="AQ154" i="36"/>
  <c r="AN161" i="36"/>
  <c r="AQ161" i="36"/>
  <c r="AN153" i="36"/>
  <c r="AQ153" i="36"/>
  <c r="AN141" i="36"/>
  <c r="AQ141" i="36"/>
  <c r="AN143" i="36"/>
  <c r="AQ143" i="36"/>
  <c r="AN148" i="36"/>
  <c r="AQ148" i="36"/>
  <c r="AN144" i="36"/>
  <c r="AQ144" i="36"/>
  <c r="AN147" i="36"/>
  <c r="AQ147" i="36"/>
  <c r="AN137" i="36"/>
  <c r="AQ137" i="36"/>
  <c r="AN138" i="36"/>
  <c r="AQ138" i="36"/>
  <c r="AN146" i="36"/>
  <c r="AQ146" i="36"/>
  <c r="AN145" i="36"/>
  <c r="AQ145" i="36"/>
  <c r="AU142" i="36"/>
  <c r="AX142" i="36"/>
  <c r="AS142" i="36"/>
  <c r="AQ142" i="36"/>
  <c r="AL159" i="36"/>
  <c r="AJ159" i="36"/>
  <c r="AL50" i="36"/>
  <c r="AQ50" i="36"/>
  <c r="AJ50" i="36"/>
  <c r="AG163" i="36"/>
  <c r="AC150" i="36"/>
  <c r="AE150" i="36"/>
  <c r="AG150" i="36"/>
  <c r="AJ150" i="36"/>
  <c r="AL150" i="36"/>
  <c r="AJ135" i="36"/>
  <c r="AL135" i="36"/>
  <c r="AG135" i="36"/>
  <c r="BL129" i="36"/>
  <c r="AX98" i="36"/>
  <c r="AX69" i="36"/>
  <c r="AQ104" i="36"/>
  <c r="AQ102" i="36"/>
  <c r="AQ125" i="36"/>
  <c r="AQ112" i="36"/>
  <c r="AQ75" i="36"/>
  <c r="AJ128" i="36"/>
  <c r="AJ73" i="36"/>
  <c r="AJ72" i="36"/>
  <c r="AJ130" i="36"/>
  <c r="AJ115" i="36"/>
  <c r="AJ117" i="36"/>
  <c r="AJ57" i="36"/>
  <c r="AJ80" i="36"/>
  <c r="AJ94" i="36"/>
  <c r="AJ60" i="36"/>
  <c r="AJ59" i="36"/>
  <c r="AJ119" i="36"/>
  <c r="AJ126" i="36"/>
  <c r="AJ111" i="36"/>
  <c r="AJ56" i="36"/>
  <c r="AJ93" i="36"/>
  <c r="AJ127" i="36"/>
  <c r="AJ62" i="36"/>
  <c r="AJ100" i="36"/>
  <c r="AJ63" i="36"/>
  <c r="AJ65" i="36"/>
  <c r="AJ116" i="36"/>
  <c r="AJ78" i="36"/>
  <c r="AJ92" i="36"/>
  <c r="AJ122" i="36"/>
  <c r="AJ67" i="36"/>
  <c r="AJ106" i="36"/>
  <c r="AJ86" i="36"/>
  <c r="AJ76" i="36"/>
  <c r="AJ113" i="36"/>
  <c r="AJ120" i="36"/>
  <c r="AJ101" i="36"/>
  <c r="AJ61" i="36"/>
  <c r="AJ70" i="36"/>
  <c r="AJ132" i="36"/>
  <c r="AJ51" i="36"/>
  <c r="AJ114" i="36"/>
  <c r="AJ124" i="36"/>
  <c r="AJ123" i="36"/>
  <c r="AJ82" i="36"/>
  <c r="AJ133" i="36"/>
  <c r="AJ96" i="36"/>
  <c r="AJ95" i="36"/>
  <c r="AJ110" i="36"/>
  <c r="AJ103" i="36"/>
  <c r="AJ91" i="36"/>
  <c r="AJ81" i="36"/>
  <c r="AJ58" i="36"/>
  <c r="AJ55" i="36"/>
  <c r="AJ64" i="36"/>
  <c r="AJ68" i="36"/>
  <c r="AJ84" i="36"/>
  <c r="BS16" i="36"/>
  <c r="BU16" i="36"/>
  <c r="BW16" i="36"/>
  <c r="AS112" i="36"/>
  <c r="AS75" i="36"/>
  <c r="AL128" i="36"/>
  <c r="AL73" i="36"/>
  <c r="AL72" i="36"/>
  <c r="AL130" i="36"/>
  <c r="AL115" i="36"/>
  <c r="AL117" i="36"/>
  <c r="AL57" i="36"/>
  <c r="AL80" i="36"/>
  <c r="AL94" i="36"/>
  <c r="AL60" i="36"/>
  <c r="AL59" i="36"/>
  <c r="AL119" i="36"/>
  <c r="AL126" i="36"/>
  <c r="AS125" i="36"/>
  <c r="AL111" i="36"/>
  <c r="AL56" i="36"/>
  <c r="AL93" i="36"/>
  <c r="AL127" i="36"/>
  <c r="AL62" i="36"/>
  <c r="AL100" i="36"/>
  <c r="AL63" i="36"/>
  <c r="AL65" i="36"/>
  <c r="AL116" i="36"/>
  <c r="AL78" i="36"/>
  <c r="AL92" i="36"/>
  <c r="AL122" i="36"/>
  <c r="AL67" i="36"/>
  <c r="AL106" i="36"/>
  <c r="AL86" i="36"/>
  <c r="AL76" i="36"/>
  <c r="AL113" i="36"/>
  <c r="AL120" i="36"/>
  <c r="AL101" i="36"/>
  <c r="AL61" i="36"/>
  <c r="AL70" i="36"/>
  <c r="AL132" i="36"/>
  <c r="AL51" i="36"/>
  <c r="AG42" i="36"/>
  <c r="AG41" i="36" s="1"/>
  <c r="AG182" i="36" s="1"/>
  <c r="AL114" i="36"/>
  <c r="AL124" i="36"/>
  <c r="AL123" i="36"/>
  <c r="AL82" i="36"/>
  <c r="AL133" i="36"/>
  <c r="AL96" i="36"/>
  <c r="AL95" i="36"/>
  <c r="AL110" i="36"/>
  <c r="AL103" i="36"/>
  <c r="AL91" i="36"/>
  <c r="AL81" i="36"/>
  <c r="AL58" i="36"/>
  <c r="AL55" i="36"/>
  <c r="AL64" i="36"/>
  <c r="AL68" i="36"/>
  <c r="AL84" i="36"/>
  <c r="AZ69" i="36"/>
  <c r="BN129" i="36"/>
  <c r="BP129" i="36"/>
  <c r="AS104" i="36"/>
  <c r="AS102" i="36"/>
  <c r="AN42" i="36"/>
  <c r="AZ98" i="36"/>
  <c r="BE6" i="36"/>
  <c r="L4" i="36"/>
  <c r="E180" i="36"/>
  <c r="E172" i="36"/>
  <c r="E38" i="36"/>
  <c r="E39" i="36" s="1"/>
  <c r="H4" i="36"/>
  <c r="AC41" i="36"/>
  <c r="AE41" i="36"/>
  <c r="V41" i="36"/>
  <c r="X41" i="36"/>
  <c r="AL24" i="36"/>
  <c r="AG24" i="36"/>
  <c r="AC181" i="36"/>
  <c r="BN15" i="36"/>
  <c r="BI15" i="36"/>
  <c r="BE15" i="36"/>
  <c r="M4" i="66"/>
  <c r="C4" i="36"/>
  <c r="C180" i="36" s="1"/>
  <c r="C42" i="36"/>
  <c r="C163" i="36"/>
  <c r="C135" i="36"/>
  <c r="C150" i="36"/>
  <c r="M13" i="49"/>
  <c r="O13" i="49" s="1"/>
  <c r="D80" i="49" l="1"/>
  <c r="D82" i="49"/>
  <c r="D83" i="49"/>
  <c r="C89" i="49"/>
  <c r="BG6" i="36"/>
  <c r="E6" i="49"/>
  <c r="BP12" i="36"/>
  <c r="BI6" i="36"/>
  <c r="BN12" i="36"/>
  <c r="BS12" i="36"/>
  <c r="BB25" i="36"/>
  <c r="AZ25" i="36"/>
  <c r="AX25" i="36"/>
  <c r="BE25" i="36"/>
  <c r="AU166" i="36"/>
  <c r="AS166" i="36"/>
  <c r="AU167" i="36"/>
  <c r="AS167" i="36"/>
  <c r="AU165" i="36"/>
  <c r="AS165" i="36"/>
  <c r="AU164" i="36"/>
  <c r="AS164" i="36"/>
  <c r="AU168" i="36"/>
  <c r="C21" i="49" s="1"/>
  <c r="AS168" i="36"/>
  <c r="AU153" i="36"/>
  <c r="AS153" i="36"/>
  <c r="AU161" i="36"/>
  <c r="C33" i="49" s="1"/>
  <c r="AS161" i="36"/>
  <c r="AU154" i="36"/>
  <c r="C28" i="49" s="1"/>
  <c r="AS154" i="36"/>
  <c r="AU158" i="36"/>
  <c r="AS158" i="36"/>
  <c r="AU155" i="36"/>
  <c r="C23" i="49" s="1"/>
  <c r="AS155" i="36"/>
  <c r="AU152" i="36"/>
  <c r="AS152" i="36"/>
  <c r="AU145" i="36"/>
  <c r="AS145" i="36"/>
  <c r="AU146" i="36"/>
  <c r="AS146" i="36"/>
  <c r="AU138" i="36"/>
  <c r="AS138" i="36"/>
  <c r="AU137" i="36"/>
  <c r="AS137" i="36"/>
  <c r="AU147" i="36"/>
  <c r="AS147" i="36"/>
  <c r="AU144" i="36"/>
  <c r="AS144" i="36"/>
  <c r="AU148" i="36"/>
  <c r="AS148" i="36"/>
  <c r="AU143" i="36"/>
  <c r="AS143" i="36"/>
  <c r="AU141" i="36"/>
  <c r="AS141" i="36"/>
  <c r="AZ142" i="36"/>
  <c r="BB142" i="36"/>
  <c r="BE142" i="36"/>
  <c r="AS50" i="36"/>
  <c r="AL163" i="36"/>
  <c r="AJ163" i="36"/>
  <c r="AN163" i="36"/>
  <c r="AN150" i="36"/>
  <c r="AS135" i="36"/>
  <c r="AN135" i="36"/>
  <c r="AN41" i="36" s="1"/>
  <c r="AN182" i="36" s="1"/>
  <c r="BS129" i="36"/>
  <c r="BE98" i="36"/>
  <c r="BE69" i="36"/>
  <c r="AX102" i="36"/>
  <c r="AX104" i="36"/>
  <c r="AX125" i="36"/>
  <c r="AX75" i="36"/>
  <c r="AX112" i="36"/>
  <c r="AQ84" i="36"/>
  <c r="AQ68" i="36"/>
  <c r="AQ64" i="36"/>
  <c r="AQ55" i="36"/>
  <c r="AQ58" i="36"/>
  <c r="AQ81" i="36"/>
  <c r="AQ91" i="36"/>
  <c r="AQ103" i="36"/>
  <c r="AQ110" i="36"/>
  <c r="AQ95" i="36"/>
  <c r="AQ96" i="36"/>
  <c r="AQ133" i="36"/>
  <c r="AQ82" i="36"/>
  <c r="AQ123" i="36"/>
  <c r="AQ124" i="36"/>
  <c r="AQ114" i="36"/>
  <c r="AQ51" i="36"/>
  <c r="AQ132" i="36"/>
  <c r="AQ70" i="36"/>
  <c r="AQ61" i="36"/>
  <c r="AQ101" i="36"/>
  <c r="AQ120" i="36"/>
  <c r="AQ113" i="36"/>
  <c r="AQ76" i="36"/>
  <c r="AQ86" i="36"/>
  <c r="AQ106" i="36"/>
  <c r="AQ67" i="36"/>
  <c r="AQ122" i="36"/>
  <c r="AQ92" i="36"/>
  <c r="AQ78" i="36"/>
  <c r="AQ116" i="36"/>
  <c r="AQ65" i="36"/>
  <c r="AQ63" i="36"/>
  <c r="AQ100" i="36"/>
  <c r="AQ62" i="36"/>
  <c r="AQ127" i="36"/>
  <c r="AQ93" i="36"/>
  <c r="AQ56" i="36"/>
  <c r="AQ111" i="36"/>
  <c r="AQ126" i="36"/>
  <c r="AQ119" i="36"/>
  <c r="AQ59" i="36"/>
  <c r="AQ60" i="36"/>
  <c r="AQ94" i="36"/>
  <c r="AQ80" i="36"/>
  <c r="AQ57" i="36"/>
  <c r="AQ117" i="36"/>
  <c r="AQ115" i="36"/>
  <c r="AQ130" i="36"/>
  <c r="AQ72" i="36"/>
  <c r="AQ73" i="36"/>
  <c r="AQ128" i="36"/>
  <c r="BZ16" i="36"/>
  <c r="CB16" i="36"/>
  <c r="CD16" i="36"/>
  <c r="BP15" i="36"/>
  <c r="AZ75" i="36"/>
  <c r="AZ112" i="36"/>
  <c r="BU129" i="36"/>
  <c r="BW129" i="36"/>
  <c r="BG69" i="36"/>
  <c r="BI69" i="36"/>
  <c r="AS84" i="36"/>
  <c r="AS68" i="36"/>
  <c r="AS64" i="36"/>
  <c r="AS55" i="36"/>
  <c r="AS58" i="36"/>
  <c r="AS81" i="36"/>
  <c r="AS91" i="36"/>
  <c r="AS103" i="36"/>
  <c r="AS110" i="36"/>
  <c r="AS95" i="36"/>
  <c r="AS96" i="36"/>
  <c r="AS133" i="36"/>
  <c r="AS82" i="36"/>
  <c r="AS123" i="36"/>
  <c r="AS124" i="36"/>
  <c r="AS114" i="36"/>
  <c r="AS51" i="36"/>
  <c r="AJ42" i="36"/>
  <c r="AJ41" i="36" s="1"/>
  <c r="AJ182" i="36" s="1"/>
  <c r="AL42" i="36"/>
  <c r="AL41" i="36" s="1"/>
  <c r="AL182" i="36" s="1"/>
  <c r="AS132" i="36"/>
  <c r="AS70" i="36"/>
  <c r="AS61" i="36"/>
  <c r="AS101" i="36"/>
  <c r="AS120" i="36"/>
  <c r="AS113" i="36"/>
  <c r="AS76" i="36"/>
  <c r="AS86" i="36"/>
  <c r="AS106" i="36"/>
  <c r="AS67" i="36"/>
  <c r="AS122" i="36"/>
  <c r="AS92" i="36"/>
  <c r="AS78" i="36"/>
  <c r="AS116" i="36"/>
  <c r="AS65" i="36"/>
  <c r="AS63" i="36"/>
  <c r="AS100" i="36"/>
  <c r="AS62" i="36"/>
  <c r="AS127" i="36"/>
  <c r="AS93" i="36"/>
  <c r="AS56" i="36"/>
  <c r="AS111" i="36"/>
  <c r="AZ125" i="36"/>
  <c r="AS126" i="36"/>
  <c r="AS119" i="36"/>
  <c r="AS59" i="36"/>
  <c r="AS60" i="36"/>
  <c r="AS94" i="36"/>
  <c r="AS80" i="36"/>
  <c r="AS57" i="36"/>
  <c r="AS117" i="36"/>
  <c r="AS115" i="36"/>
  <c r="AS130" i="36"/>
  <c r="AS72" i="36"/>
  <c r="AS73" i="36"/>
  <c r="AS128" i="36"/>
  <c r="AZ102" i="36"/>
  <c r="AU42" i="36"/>
  <c r="C8" i="49" s="1"/>
  <c r="AZ104" i="36"/>
  <c r="BG98" i="36"/>
  <c r="BI98" i="36"/>
  <c r="BL6" i="36"/>
  <c r="H172" i="36"/>
  <c r="H180" i="36"/>
  <c r="H38" i="36"/>
  <c r="H39" i="36" s="1"/>
  <c r="J172" i="36"/>
  <c r="J180" i="36"/>
  <c r="J38" i="36"/>
  <c r="J39" i="36" s="1"/>
  <c r="S4" i="36"/>
  <c r="X4" i="36" s="1"/>
  <c r="L172" i="36"/>
  <c r="L38" i="36"/>
  <c r="L39" i="36" s="1"/>
  <c r="L180" i="36"/>
  <c r="O4" i="36"/>
  <c r="Q4" i="36"/>
  <c r="AE182" i="36"/>
  <c r="AC182" i="36"/>
  <c r="AG181" i="36"/>
  <c r="AL181" i="36"/>
  <c r="AN24" i="36"/>
  <c r="X182" i="36"/>
  <c r="V182" i="36"/>
  <c r="AS24" i="36"/>
  <c r="AU24" i="36"/>
  <c r="AU181" i="36" s="1"/>
  <c r="BU15" i="36"/>
  <c r="BL15" i="36"/>
  <c r="C38" i="36"/>
  <c r="AW180" i="36"/>
  <c r="AW172" i="36"/>
  <c r="C41" i="36"/>
  <c r="E89" i="49" l="1"/>
  <c r="E88" i="49"/>
  <c r="C26" i="49"/>
  <c r="C37" i="49" s="1"/>
  <c r="BN6" i="36"/>
  <c r="G6" i="49"/>
  <c r="BW12" i="36"/>
  <c r="BU12" i="36"/>
  <c r="BP6" i="36"/>
  <c r="I6" i="49" s="1"/>
  <c r="BZ12" i="36"/>
  <c r="BI25" i="36"/>
  <c r="BG25" i="36"/>
  <c r="AZ168" i="36"/>
  <c r="BB168" i="36"/>
  <c r="E21" i="49" s="1"/>
  <c r="AX168" i="36"/>
  <c r="AZ164" i="36"/>
  <c r="BB164" i="36"/>
  <c r="AX164" i="36"/>
  <c r="AZ165" i="36"/>
  <c r="BB165" i="36"/>
  <c r="E26" i="49" s="1"/>
  <c r="AX165" i="36"/>
  <c r="AZ167" i="36"/>
  <c r="BB167" i="36"/>
  <c r="AX167" i="36"/>
  <c r="AZ166" i="36"/>
  <c r="BB166" i="36"/>
  <c r="AX166" i="36"/>
  <c r="AZ152" i="36"/>
  <c r="BB152" i="36"/>
  <c r="AX152" i="36"/>
  <c r="AZ155" i="36"/>
  <c r="BB155" i="36"/>
  <c r="E23" i="49" s="1"/>
  <c r="AX155" i="36"/>
  <c r="AZ158" i="36"/>
  <c r="BB158" i="36"/>
  <c r="AX158" i="36"/>
  <c r="AZ154" i="36"/>
  <c r="BB154" i="36"/>
  <c r="E28" i="49" s="1"/>
  <c r="AX154" i="36"/>
  <c r="AZ161" i="36"/>
  <c r="BB161" i="36"/>
  <c r="E33" i="49" s="1"/>
  <c r="AX161" i="36"/>
  <c r="AZ153" i="36"/>
  <c r="BB153" i="36"/>
  <c r="AX153" i="36"/>
  <c r="BI142" i="36"/>
  <c r="BL142" i="36"/>
  <c r="AZ141" i="36"/>
  <c r="BB141" i="36"/>
  <c r="AX141" i="36"/>
  <c r="AZ143" i="36"/>
  <c r="BB143" i="36"/>
  <c r="AX143" i="36"/>
  <c r="AZ148" i="36"/>
  <c r="BB148" i="36"/>
  <c r="AX148" i="36"/>
  <c r="AZ144" i="36"/>
  <c r="BB144" i="36"/>
  <c r="AX144" i="36"/>
  <c r="AZ147" i="36"/>
  <c r="BB147" i="36"/>
  <c r="AX147" i="36"/>
  <c r="AZ137" i="36"/>
  <c r="BB137" i="36"/>
  <c r="AX137" i="36"/>
  <c r="AZ138" i="36"/>
  <c r="BB138" i="36"/>
  <c r="AX138" i="36"/>
  <c r="AZ146" i="36"/>
  <c r="BB146" i="36"/>
  <c r="AX146" i="36"/>
  <c r="AZ145" i="36"/>
  <c r="BB145" i="36"/>
  <c r="AX145" i="36"/>
  <c r="BG142" i="36"/>
  <c r="AZ50" i="36"/>
  <c r="BE50" i="36"/>
  <c r="AX50" i="36"/>
  <c r="AU163" i="36"/>
  <c r="C10" i="49" s="1"/>
  <c r="AS163" i="36"/>
  <c r="AQ163" i="36"/>
  <c r="AU150" i="36"/>
  <c r="C11" i="49" s="1"/>
  <c r="AZ150" i="36"/>
  <c r="AS150" i="36"/>
  <c r="AQ150" i="36"/>
  <c r="AU135" i="36"/>
  <c r="AZ135" i="36"/>
  <c r="AQ135" i="36"/>
  <c r="BZ129" i="36"/>
  <c r="BL98" i="36"/>
  <c r="BL69" i="36"/>
  <c r="BE104" i="36"/>
  <c r="BE102" i="36"/>
  <c r="BE125" i="36"/>
  <c r="BE112" i="36"/>
  <c r="BE75" i="36"/>
  <c r="AX128" i="36"/>
  <c r="AX73" i="36"/>
  <c r="AX72" i="36"/>
  <c r="AX130" i="36"/>
  <c r="AX115" i="36"/>
  <c r="AX117" i="36"/>
  <c r="AX57" i="36"/>
  <c r="AX80" i="36"/>
  <c r="AX94" i="36"/>
  <c r="AX60" i="36"/>
  <c r="AX59" i="36"/>
  <c r="AX119" i="36"/>
  <c r="AX126" i="36"/>
  <c r="AX111" i="36"/>
  <c r="AX56" i="36"/>
  <c r="AX93" i="36"/>
  <c r="AX127" i="36"/>
  <c r="AX62" i="36"/>
  <c r="AX100" i="36"/>
  <c r="AX63" i="36"/>
  <c r="AX65" i="36"/>
  <c r="AX116" i="36"/>
  <c r="AX78" i="36"/>
  <c r="AX92" i="36"/>
  <c r="AX122" i="36"/>
  <c r="AX67" i="36"/>
  <c r="AX106" i="36"/>
  <c r="AX86" i="36"/>
  <c r="AX76" i="36"/>
  <c r="AX113" i="36"/>
  <c r="AX120" i="36"/>
  <c r="AX101" i="36"/>
  <c r="AX61" i="36"/>
  <c r="AX70" i="36"/>
  <c r="AX132" i="36"/>
  <c r="AX51" i="36"/>
  <c r="AX114" i="36"/>
  <c r="AX124" i="36"/>
  <c r="AX123" i="36"/>
  <c r="AX82" i="36"/>
  <c r="AX133" i="36"/>
  <c r="AX96" i="36"/>
  <c r="AX95" i="36"/>
  <c r="AX110" i="36"/>
  <c r="AX103" i="36"/>
  <c r="AX91" i="36"/>
  <c r="AX81" i="36"/>
  <c r="AX58" i="36"/>
  <c r="AX55" i="36"/>
  <c r="AX64" i="36"/>
  <c r="AX68" i="36"/>
  <c r="AX84" i="36"/>
  <c r="CI16" i="36"/>
  <c r="CG16" i="36"/>
  <c r="CB15" i="36"/>
  <c r="BG112" i="36"/>
  <c r="BI112" i="36"/>
  <c r="BI75" i="36"/>
  <c r="BG75" i="36"/>
  <c r="AZ128" i="36"/>
  <c r="AZ73" i="36"/>
  <c r="AZ72" i="36"/>
  <c r="AZ130" i="36"/>
  <c r="AZ115" i="36"/>
  <c r="AZ117" i="36"/>
  <c r="AZ57" i="36"/>
  <c r="AZ80" i="36"/>
  <c r="AZ94" i="36"/>
  <c r="AZ60" i="36"/>
  <c r="AZ59" i="36"/>
  <c r="AZ119" i="36"/>
  <c r="AZ126" i="36"/>
  <c r="BI125" i="36"/>
  <c r="BG125" i="36"/>
  <c r="AZ111" i="36"/>
  <c r="AZ56" i="36"/>
  <c r="AZ93" i="36"/>
  <c r="AZ127" i="36"/>
  <c r="AZ62" i="36"/>
  <c r="AZ100" i="36"/>
  <c r="AZ63" i="36"/>
  <c r="AZ65" i="36"/>
  <c r="AZ116" i="36"/>
  <c r="AZ78" i="36"/>
  <c r="AZ92" i="36"/>
  <c r="AZ122" i="36"/>
  <c r="AZ67" i="36"/>
  <c r="AZ106" i="36"/>
  <c r="AZ86" i="36"/>
  <c r="AZ76" i="36"/>
  <c r="AZ113" i="36"/>
  <c r="AZ120" i="36"/>
  <c r="AZ101" i="36"/>
  <c r="AZ61" i="36"/>
  <c r="AZ70" i="36"/>
  <c r="AZ132" i="36"/>
  <c r="AZ51" i="36"/>
  <c r="AQ42" i="36"/>
  <c r="AQ41" i="36" s="1"/>
  <c r="AQ182" i="36" s="1"/>
  <c r="AS42" i="36"/>
  <c r="AS41" i="36" s="1"/>
  <c r="AS182" i="36" s="1"/>
  <c r="AZ114" i="36"/>
  <c r="AZ124" i="36"/>
  <c r="AZ123" i="36"/>
  <c r="AZ82" i="36"/>
  <c r="AZ133" i="36"/>
  <c r="AZ96" i="36"/>
  <c r="AZ95" i="36"/>
  <c r="AZ110" i="36"/>
  <c r="AZ103" i="36"/>
  <c r="AZ91" i="36"/>
  <c r="AZ81" i="36"/>
  <c r="AZ58" i="36"/>
  <c r="AZ55" i="36"/>
  <c r="AZ64" i="36"/>
  <c r="AZ68" i="36"/>
  <c r="AZ84" i="36"/>
  <c r="BN69" i="36"/>
  <c r="BP69" i="36"/>
  <c r="CB129" i="36"/>
  <c r="CD129" i="36"/>
  <c r="CG129" i="36" s="1"/>
  <c r="BI104" i="36"/>
  <c r="BG104" i="36"/>
  <c r="AZ42" i="36"/>
  <c r="AX42" i="36"/>
  <c r="BI102" i="36"/>
  <c r="BG102" i="36"/>
  <c r="BN98" i="36"/>
  <c r="BP98" i="36"/>
  <c r="BS6" i="36"/>
  <c r="Q180" i="36"/>
  <c r="Q172" i="36"/>
  <c r="Q38" i="36"/>
  <c r="Q39" i="36" s="1"/>
  <c r="O180" i="36"/>
  <c r="S180" i="36"/>
  <c r="S172" i="36"/>
  <c r="S38" i="36"/>
  <c r="S39" i="36" s="1"/>
  <c r="Z4" i="36"/>
  <c r="AS181" i="36"/>
  <c r="AN181" i="36"/>
  <c r="AZ24" i="36"/>
  <c r="AZ181" i="36" s="1"/>
  <c r="BW15" i="36"/>
  <c r="BS15" i="36"/>
  <c r="C172" i="36"/>
  <c r="C182" i="36"/>
  <c r="I89" i="49" l="1"/>
  <c r="I88" i="49"/>
  <c r="G89" i="49"/>
  <c r="G88" i="49"/>
  <c r="AU41" i="36"/>
  <c r="AU182" i="36" s="1"/>
  <c r="C9" i="49"/>
  <c r="E37" i="49"/>
  <c r="N14" i="49"/>
  <c r="BU6" i="36"/>
  <c r="CD12" i="36"/>
  <c r="CD6" i="36" s="1"/>
  <c r="M6" i="49" s="1"/>
  <c r="BW6" i="36"/>
  <c r="K6" i="49" s="1"/>
  <c r="CB12" i="36"/>
  <c r="CG12" i="36"/>
  <c r="BP25" i="36"/>
  <c r="BN25" i="36"/>
  <c r="BS25" i="36"/>
  <c r="BL25" i="36"/>
  <c r="BN142" i="36"/>
  <c r="BP142" i="36"/>
  <c r="BS142" i="36"/>
  <c r="BG166" i="36"/>
  <c r="BI166" i="36"/>
  <c r="BL166" i="36"/>
  <c r="BE166" i="36"/>
  <c r="BG167" i="36"/>
  <c r="BI167" i="36"/>
  <c r="BL167" i="36"/>
  <c r="BE167" i="36"/>
  <c r="BG165" i="36"/>
  <c r="BI165" i="36"/>
  <c r="BL165" i="36"/>
  <c r="BE165" i="36"/>
  <c r="BG164" i="36"/>
  <c r="BI164" i="36"/>
  <c r="BL164" i="36"/>
  <c r="BE164" i="36"/>
  <c r="BG168" i="36"/>
  <c r="BI168" i="36"/>
  <c r="BL168" i="36"/>
  <c r="BE168" i="36"/>
  <c r="BG153" i="36"/>
  <c r="BI153" i="36"/>
  <c r="BL153" i="36"/>
  <c r="BE153" i="36"/>
  <c r="BG161" i="36"/>
  <c r="BI161" i="36"/>
  <c r="BL161" i="36"/>
  <c r="BE161" i="36"/>
  <c r="BG154" i="36"/>
  <c r="BI154" i="36"/>
  <c r="BL154" i="36"/>
  <c r="BE154" i="36"/>
  <c r="BG158" i="36"/>
  <c r="BI158" i="36"/>
  <c r="BL158" i="36"/>
  <c r="BE158" i="36"/>
  <c r="BG155" i="36"/>
  <c r="BI155" i="36"/>
  <c r="BL155" i="36"/>
  <c r="BE155" i="36"/>
  <c r="BG152" i="36"/>
  <c r="BI152" i="36"/>
  <c r="BL152" i="36"/>
  <c r="BE152" i="36"/>
  <c r="BG145" i="36"/>
  <c r="BI145" i="36"/>
  <c r="BL145" i="36"/>
  <c r="BE145" i="36"/>
  <c r="BG146" i="36"/>
  <c r="BI146" i="36"/>
  <c r="BL146" i="36"/>
  <c r="BE146" i="36"/>
  <c r="BG138" i="36"/>
  <c r="BI138" i="36"/>
  <c r="BL138" i="36"/>
  <c r="BE138" i="36"/>
  <c r="BG137" i="36"/>
  <c r="BI137" i="36"/>
  <c r="BL137" i="36"/>
  <c r="BE137" i="36"/>
  <c r="BG147" i="36"/>
  <c r="BI147" i="36"/>
  <c r="BL147" i="36"/>
  <c r="BE147" i="36"/>
  <c r="BG144" i="36"/>
  <c r="BI144" i="36"/>
  <c r="BL144" i="36"/>
  <c r="BE144" i="36"/>
  <c r="BG148" i="36"/>
  <c r="BI148" i="36"/>
  <c r="BL148" i="36"/>
  <c r="BE148" i="36"/>
  <c r="BG143" i="36"/>
  <c r="BI143" i="36"/>
  <c r="BL143" i="36"/>
  <c r="BE143" i="36"/>
  <c r="BG141" i="36"/>
  <c r="BI141" i="36"/>
  <c r="BL141" i="36"/>
  <c r="BE141" i="36"/>
  <c r="BI50" i="36"/>
  <c r="BG50" i="36"/>
  <c r="AX163" i="36"/>
  <c r="AZ163" i="36"/>
  <c r="AZ41" i="36" s="1"/>
  <c r="AZ182" i="36" s="1"/>
  <c r="BB163" i="36"/>
  <c r="E10" i="49" s="1"/>
  <c r="AX150" i="36"/>
  <c r="BB150" i="36"/>
  <c r="E11" i="49" s="1"/>
  <c r="AX135" i="36"/>
  <c r="AX41" i="36" s="1"/>
  <c r="AX182" i="36" s="1"/>
  <c r="BG135" i="36"/>
  <c r="BB135" i="36"/>
  <c r="E9" i="49" s="1"/>
  <c r="BS98" i="36"/>
  <c r="BS69" i="36"/>
  <c r="BL102" i="36"/>
  <c r="BL104" i="36"/>
  <c r="BL125" i="36"/>
  <c r="BL75" i="36"/>
  <c r="BL112" i="36"/>
  <c r="BE84" i="36"/>
  <c r="BE68" i="36"/>
  <c r="BE64" i="36"/>
  <c r="BE55" i="36"/>
  <c r="BE58" i="36"/>
  <c r="BE81" i="36"/>
  <c r="BE91" i="36"/>
  <c r="BE103" i="36"/>
  <c r="BE110" i="36"/>
  <c r="BE95" i="36"/>
  <c r="BE96" i="36"/>
  <c r="BE133" i="36"/>
  <c r="BE82" i="36"/>
  <c r="BE123" i="36"/>
  <c r="BE124" i="36"/>
  <c r="BE114" i="36"/>
  <c r="BE51" i="36"/>
  <c r="BE132" i="36"/>
  <c r="BE70" i="36"/>
  <c r="BE61" i="36"/>
  <c r="BE101" i="36"/>
  <c r="BE120" i="36"/>
  <c r="BE113" i="36"/>
  <c r="BE76" i="36"/>
  <c r="BE86" i="36"/>
  <c r="BE106" i="36"/>
  <c r="BE67" i="36"/>
  <c r="BE122" i="36"/>
  <c r="BE92" i="36"/>
  <c r="BE78" i="36"/>
  <c r="BE116" i="36"/>
  <c r="BE65" i="36"/>
  <c r="BE63" i="36"/>
  <c r="BE100" i="36"/>
  <c r="BE62" i="36"/>
  <c r="BE127" i="36"/>
  <c r="BE93" i="36"/>
  <c r="BE56" i="36"/>
  <c r="BE111" i="36"/>
  <c r="BE126" i="36"/>
  <c r="BE119" i="36"/>
  <c r="BE59" i="36"/>
  <c r="BE60" i="36"/>
  <c r="BE94" i="36"/>
  <c r="BE80" i="36"/>
  <c r="BE57" i="36"/>
  <c r="BE117" i="36"/>
  <c r="BE115" i="36"/>
  <c r="BE130" i="36"/>
  <c r="BE72" i="36"/>
  <c r="BE73" i="36"/>
  <c r="BE128" i="36"/>
  <c r="CI15" i="36"/>
  <c r="BP75" i="36"/>
  <c r="BN75" i="36"/>
  <c r="BN112" i="36"/>
  <c r="BP112" i="36"/>
  <c r="CI129" i="36"/>
  <c r="BU69" i="36"/>
  <c r="BW69" i="36"/>
  <c r="BG84" i="36"/>
  <c r="BI84" i="36"/>
  <c r="BG68" i="36"/>
  <c r="BI68" i="36"/>
  <c r="BG64" i="36"/>
  <c r="BI64" i="36"/>
  <c r="BG55" i="36"/>
  <c r="BI55" i="36"/>
  <c r="BG58" i="36"/>
  <c r="BI58" i="36"/>
  <c r="BG81" i="36"/>
  <c r="BI81" i="36"/>
  <c r="BG91" i="36"/>
  <c r="BI91" i="36"/>
  <c r="BG103" i="36"/>
  <c r="BI103" i="36"/>
  <c r="BG110" i="36"/>
  <c r="BI110" i="36"/>
  <c r="BG95" i="36"/>
  <c r="BI95" i="36"/>
  <c r="BG96" i="36"/>
  <c r="BI96" i="36"/>
  <c r="BG133" i="36"/>
  <c r="BI133" i="36"/>
  <c r="BG82" i="36"/>
  <c r="BI82" i="36"/>
  <c r="BG123" i="36"/>
  <c r="BI123" i="36"/>
  <c r="BG124" i="36"/>
  <c r="BI124" i="36"/>
  <c r="BG114" i="36"/>
  <c r="BI114" i="36"/>
  <c r="BG51" i="36"/>
  <c r="BI51" i="36"/>
  <c r="BB42" i="36"/>
  <c r="BG132" i="36"/>
  <c r="BI132" i="36"/>
  <c r="BG70" i="36"/>
  <c r="BI70" i="36"/>
  <c r="BG61" i="36"/>
  <c r="BI61" i="36"/>
  <c r="BG101" i="36"/>
  <c r="BI101" i="36"/>
  <c r="BG120" i="36"/>
  <c r="BI120" i="36"/>
  <c r="BG113" i="36"/>
  <c r="BI113" i="36"/>
  <c r="BG76" i="36"/>
  <c r="BI76" i="36"/>
  <c r="BG86" i="36"/>
  <c r="BI86" i="36"/>
  <c r="BG106" i="36"/>
  <c r="BI106" i="36"/>
  <c r="BG67" i="36"/>
  <c r="BI67" i="36"/>
  <c r="BG122" i="36"/>
  <c r="BI122" i="36"/>
  <c r="BG92" i="36"/>
  <c r="BI92" i="36"/>
  <c r="BG78" i="36"/>
  <c r="BI78" i="36"/>
  <c r="BG116" i="36"/>
  <c r="BI116" i="36"/>
  <c r="BG65" i="36"/>
  <c r="BI65" i="36"/>
  <c r="BG63" i="36"/>
  <c r="BI63" i="36"/>
  <c r="BG100" i="36"/>
  <c r="BI100" i="36"/>
  <c r="BG62" i="36"/>
  <c r="BI62" i="36"/>
  <c r="BG127" i="36"/>
  <c r="BI127" i="36"/>
  <c r="BG93" i="36"/>
  <c r="BI93" i="36"/>
  <c r="BG56" i="36"/>
  <c r="BI56" i="36"/>
  <c r="BG111" i="36"/>
  <c r="BI111" i="36"/>
  <c r="BP125" i="36"/>
  <c r="BN125" i="36"/>
  <c r="BG126" i="36"/>
  <c r="BI126" i="36"/>
  <c r="BG119" i="36"/>
  <c r="BI119" i="36"/>
  <c r="BG59" i="36"/>
  <c r="BI59" i="36"/>
  <c r="BG60" i="36"/>
  <c r="BI60" i="36"/>
  <c r="BG94" i="36"/>
  <c r="BI94" i="36"/>
  <c r="BG80" i="36"/>
  <c r="BI80" i="36"/>
  <c r="BG57" i="36"/>
  <c r="BI57" i="36"/>
  <c r="BG117" i="36"/>
  <c r="BI117" i="36"/>
  <c r="BG115" i="36"/>
  <c r="BI115" i="36"/>
  <c r="BG130" i="36"/>
  <c r="BI130" i="36"/>
  <c r="BG72" i="36"/>
  <c r="BI72" i="36"/>
  <c r="BG73" i="36"/>
  <c r="BI73" i="36"/>
  <c r="BG128" i="36"/>
  <c r="BI128" i="36"/>
  <c r="BP102" i="36"/>
  <c r="BN102" i="36"/>
  <c r="BP104" i="36"/>
  <c r="BN104" i="36"/>
  <c r="BU98" i="36"/>
  <c r="BW98" i="36"/>
  <c r="O24" i="36"/>
  <c r="BZ6" i="36"/>
  <c r="CG6" i="36"/>
  <c r="AG4" i="36"/>
  <c r="Z38" i="36"/>
  <c r="Z39" i="36" s="1"/>
  <c r="AC4" i="36"/>
  <c r="Z172" i="36"/>
  <c r="Z180" i="36"/>
  <c r="AE4" i="36"/>
  <c r="X180" i="36"/>
  <c r="X38" i="36"/>
  <c r="X39" i="36" s="1"/>
  <c r="X172" i="36"/>
  <c r="V38" i="36"/>
  <c r="V39" i="36" s="1"/>
  <c r="V180" i="36"/>
  <c r="V172" i="36"/>
  <c r="BB24" i="36"/>
  <c r="BB181" i="36" s="1"/>
  <c r="BG24" i="36"/>
  <c r="BG181" i="36" s="1"/>
  <c r="BI24" i="36"/>
  <c r="BI181" i="36" s="1"/>
  <c r="CD15" i="36"/>
  <c r="BZ15" i="36"/>
  <c r="CG15" i="36"/>
  <c r="J82" i="49"/>
  <c r="J83" i="49"/>
  <c r="F82" i="49"/>
  <c r="F83" i="49"/>
  <c r="M89" i="49" l="1"/>
  <c r="M88" i="49"/>
  <c r="K89" i="49"/>
  <c r="K88" i="49"/>
  <c r="BB41" i="36"/>
  <c r="BB182" i="36" s="1"/>
  <c r="E8" i="49"/>
  <c r="G23" i="49"/>
  <c r="G28" i="49"/>
  <c r="G33" i="49"/>
  <c r="G21" i="49"/>
  <c r="G31" i="49"/>
  <c r="G26" i="49"/>
  <c r="G37" i="49"/>
  <c r="CB6" i="36"/>
  <c r="CI12" i="36"/>
  <c r="BW25" i="36"/>
  <c r="BU25" i="36"/>
  <c r="BU142" i="36"/>
  <c r="BW142" i="36"/>
  <c r="BZ142" i="36"/>
  <c r="BN168" i="36"/>
  <c r="BP168" i="36"/>
  <c r="I21" i="49" s="1"/>
  <c r="BS168" i="36"/>
  <c r="BN164" i="36"/>
  <c r="BP164" i="36"/>
  <c r="BS164" i="36"/>
  <c r="BN165" i="36"/>
  <c r="BP165" i="36"/>
  <c r="I26" i="49" s="1"/>
  <c r="BS165" i="36"/>
  <c r="BN167" i="36"/>
  <c r="BP167" i="36"/>
  <c r="BS167" i="36"/>
  <c r="BN166" i="36"/>
  <c r="BP166" i="36"/>
  <c r="BS166" i="36"/>
  <c r="BN152" i="36"/>
  <c r="BP152" i="36"/>
  <c r="BS152" i="36"/>
  <c r="BN155" i="36"/>
  <c r="BP155" i="36"/>
  <c r="I23" i="49" s="1"/>
  <c r="BS155" i="36"/>
  <c r="BN158" i="36"/>
  <c r="BP158" i="36"/>
  <c r="BS158" i="36"/>
  <c r="BN154" i="36"/>
  <c r="BP154" i="36"/>
  <c r="I28" i="49" s="1"/>
  <c r="BS154" i="36"/>
  <c r="BN161" i="36"/>
  <c r="BP161" i="36"/>
  <c r="I33" i="49" s="1"/>
  <c r="BS161" i="36"/>
  <c r="BN153" i="36"/>
  <c r="BP153" i="36"/>
  <c r="BS153" i="36"/>
  <c r="BN141" i="36"/>
  <c r="BP141" i="36"/>
  <c r="BS141" i="36"/>
  <c r="BN143" i="36"/>
  <c r="BP143" i="36"/>
  <c r="BS143" i="36"/>
  <c r="BN148" i="36"/>
  <c r="BP148" i="36"/>
  <c r="BS148" i="36"/>
  <c r="BN144" i="36"/>
  <c r="BP144" i="36"/>
  <c r="BS144" i="36"/>
  <c r="BN147" i="36"/>
  <c r="BP147" i="36"/>
  <c r="BS147" i="36"/>
  <c r="BN137" i="36"/>
  <c r="BP137" i="36"/>
  <c r="BS137" i="36"/>
  <c r="BN138" i="36"/>
  <c r="BP138" i="36"/>
  <c r="BS138" i="36"/>
  <c r="BN146" i="36"/>
  <c r="BP146" i="36"/>
  <c r="BS146" i="36"/>
  <c r="BN145" i="36"/>
  <c r="BP145" i="36"/>
  <c r="BS145" i="36"/>
  <c r="BP50" i="36"/>
  <c r="BN50" i="36"/>
  <c r="BS50" i="36"/>
  <c r="BL50" i="36"/>
  <c r="BG163" i="36"/>
  <c r="BI163" i="36"/>
  <c r="G10" i="49" s="1"/>
  <c r="BE163" i="36"/>
  <c r="BG150" i="36"/>
  <c r="BI150" i="36"/>
  <c r="G11" i="49" s="1"/>
  <c r="BN150" i="36"/>
  <c r="BE150" i="36"/>
  <c r="BI135" i="36"/>
  <c r="G9" i="49" s="1"/>
  <c r="BN135" i="36"/>
  <c r="BE135" i="36"/>
  <c r="BZ98" i="36"/>
  <c r="BZ69" i="36"/>
  <c r="BS104" i="36"/>
  <c r="BS102" i="36"/>
  <c r="BS125" i="36"/>
  <c r="BS112" i="36"/>
  <c r="BS75" i="36"/>
  <c r="BL128" i="36"/>
  <c r="BL73" i="36"/>
  <c r="BL72" i="36"/>
  <c r="BL130" i="36"/>
  <c r="BL115" i="36"/>
  <c r="BL117" i="36"/>
  <c r="BL57" i="36"/>
  <c r="BL80" i="36"/>
  <c r="BL94" i="36"/>
  <c r="BL60" i="36"/>
  <c r="BL59" i="36"/>
  <c r="BL119" i="36"/>
  <c r="BL126" i="36"/>
  <c r="BL111" i="36"/>
  <c r="BL56" i="36"/>
  <c r="BL93" i="36"/>
  <c r="BL127" i="36"/>
  <c r="BL62" i="36"/>
  <c r="BL100" i="36"/>
  <c r="BL63" i="36"/>
  <c r="BL65" i="36"/>
  <c r="BL116" i="36"/>
  <c r="BL78" i="36"/>
  <c r="BL92" i="36"/>
  <c r="BL122" i="36"/>
  <c r="BL67" i="36"/>
  <c r="BL106" i="36"/>
  <c r="BL86" i="36"/>
  <c r="BL76" i="36"/>
  <c r="BL113" i="36"/>
  <c r="BL120" i="36"/>
  <c r="BL101" i="36"/>
  <c r="BL61" i="36"/>
  <c r="BL70" i="36"/>
  <c r="BL132" i="36"/>
  <c r="BL51" i="36"/>
  <c r="BL114" i="36"/>
  <c r="BL124" i="36"/>
  <c r="BL123" i="36"/>
  <c r="BL82" i="36"/>
  <c r="BL133" i="36"/>
  <c r="BL96" i="36"/>
  <c r="BL95" i="36"/>
  <c r="BL110" i="36"/>
  <c r="BL103" i="36"/>
  <c r="BL91" i="36"/>
  <c r="BL81" i="36"/>
  <c r="BL58" i="36"/>
  <c r="BL55" i="36"/>
  <c r="BL64" i="36"/>
  <c r="BL68" i="36"/>
  <c r="BL84" i="36"/>
  <c r="BU112" i="36"/>
  <c r="BW112" i="36"/>
  <c r="BW75" i="36"/>
  <c r="BU75" i="36"/>
  <c r="BN128" i="36"/>
  <c r="BP128" i="36"/>
  <c r="BN73" i="36"/>
  <c r="BP73" i="36"/>
  <c r="BN72" i="36"/>
  <c r="BP72" i="36"/>
  <c r="BN130" i="36"/>
  <c r="BP130" i="36"/>
  <c r="BN115" i="36"/>
  <c r="BP115" i="36"/>
  <c r="BN117" i="36"/>
  <c r="BP117" i="36"/>
  <c r="BN57" i="36"/>
  <c r="BP57" i="36"/>
  <c r="BN80" i="36"/>
  <c r="BP80" i="36"/>
  <c r="BN94" i="36"/>
  <c r="BP94" i="36"/>
  <c r="BN60" i="36"/>
  <c r="BP60" i="36"/>
  <c r="BN59" i="36"/>
  <c r="BP59" i="36"/>
  <c r="BN119" i="36"/>
  <c r="BP119" i="36"/>
  <c r="BN126" i="36"/>
  <c r="BP126" i="36"/>
  <c r="BW125" i="36"/>
  <c r="BU125" i="36"/>
  <c r="BN111" i="36"/>
  <c r="BP111" i="36"/>
  <c r="BN56" i="36"/>
  <c r="BP56" i="36"/>
  <c r="BN93" i="36"/>
  <c r="BP93" i="36"/>
  <c r="BN127" i="36"/>
  <c r="BP127" i="36"/>
  <c r="BN62" i="36"/>
  <c r="BP62" i="36"/>
  <c r="BN100" i="36"/>
  <c r="BP100" i="36"/>
  <c r="BN63" i="36"/>
  <c r="BP63" i="36"/>
  <c r="BN65" i="36"/>
  <c r="BP65" i="36"/>
  <c r="BN116" i="36"/>
  <c r="BP116" i="36"/>
  <c r="BN78" i="36"/>
  <c r="BP78" i="36"/>
  <c r="BN92" i="36"/>
  <c r="BP92" i="36"/>
  <c r="BN122" i="36"/>
  <c r="BP122" i="36"/>
  <c r="BN67" i="36"/>
  <c r="BP67" i="36"/>
  <c r="BN106" i="36"/>
  <c r="BP106" i="36"/>
  <c r="BN86" i="36"/>
  <c r="BP86" i="36"/>
  <c r="BN76" i="36"/>
  <c r="BP76" i="36"/>
  <c r="BN113" i="36"/>
  <c r="BP113" i="36"/>
  <c r="BN120" i="36"/>
  <c r="BP120" i="36"/>
  <c r="BN101" i="36"/>
  <c r="BP101" i="36"/>
  <c r="BN61" i="36"/>
  <c r="BP61" i="36"/>
  <c r="BN70" i="36"/>
  <c r="BP70" i="36"/>
  <c r="BN132" i="36"/>
  <c r="BP132" i="36"/>
  <c r="BN51" i="36"/>
  <c r="BP51" i="36"/>
  <c r="BI42" i="36"/>
  <c r="BE42" i="36"/>
  <c r="BE41" i="36" s="1"/>
  <c r="BE182" i="36" s="1"/>
  <c r="BG42" i="36"/>
  <c r="BG41" i="36" s="1"/>
  <c r="BG182" i="36" s="1"/>
  <c r="BN114" i="36"/>
  <c r="BP114" i="36"/>
  <c r="BN124" i="36"/>
  <c r="BP124" i="36"/>
  <c r="BN123" i="36"/>
  <c r="BP123" i="36"/>
  <c r="BN82" i="36"/>
  <c r="BP82" i="36"/>
  <c r="BN133" i="36"/>
  <c r="BP133" i="36"/>
  <c r="BN96" i="36"/>
  <c r="BP96" i="36"/>
  <c r="BN95" i="36"/>
  <c r="BP95" i="36"/>
  <c r="BN110" i="36"/>
  <c r="BP110" i="36"/>
  <c r="BN103" i="36"/>
  <c r="BP103" i="36"/>
  <c r="BN91" i="36"/>
  <c r="BP91" i="36"/>
  <c r="BN81" i="36"/>
  <c r="BP81" i="36"/>
  <c r="BN58" i="36"/>
  <c r="BP58" i="36"/>
  <c r="BN55" i="36"/>
  <c r="BP55" i="36"/>
  <c r="BN64" i="36"/>
  <c r="BP64" i="36"/>
  <c r="BN68" i="36"/>
  <c r="BP68" i="36"/>
  <c r="BN84" i="36"/>
  <c r="BP84" i="36"/>
  <c r="CB69" i="36"/>
  <c r="CD69" i="36"/>
  <c r="CG69" i="36" s="1"/>
  <c r="BW104" i="36"/>
  <c r="BU104" i="36"/>
  <c r="BN42" i="36"/>
  <c r="BL42" i="36"/>
  <c r="BW102" i="36"/>
  <c r="BU102" i="36"/>
  <c r="CB98" i="36"/>
  <c r="CD98" i="36"/>
  <c r="CG98" i="36" s="1"/>
  <c r="O181" i="36"/>
  <c r="O38" i="36"/>
  <c r="O39" i="36" s="1"/>
  <c r="O172" i="36"/>
  <c r="AE180" i="36"/>
  <c r="AE38" i="36"/>
  <c r="AE39" i="36" s="1"/>
  <c r="AE172" i="36"/>
  <c r="AC180" i="36"/>
  <c r="AC38" i="36"/>
  <c r="AC39" i="36" s="1"/>
  <c r="AC172" i="36"/>
  <c r="AN4" i="36"/>
  <c r="AG38" i="36"/>
  <c r="AG39" i="36" s="1"/>
  <c r="AG180" i="36"/>
  <c r="AJ4" i="36"/>
  <c r="AL4" i="36"/>
  <c r="AG172" i="36"/>
  <c r="BN24" i="36"/>
  <c r="BN181" i="36" s="1"/>
  <c r="I185" i="65"/>
  <c r="H82" i="49"/>
  <c r="H83" i="49"/>
  <c r="BI41" i="36" l="1"/>
  <c r="BI182" i="36" s="1"/>
  <c r="G8" i="49"/>
  <c r="I31" i="49"/>
  <c r="I37" i="49"/>
  <c r="N37" i="49"/>
  <c r="CI6" i="36"/>
  <c r="CD25" i="36"/>
  <c r="CI25" i="36" s="1"/>
  <c r="CB25" i="36"/>
  <c r="CG25" i="36"/>
  <c r="BZ25" i="36"/>
  <c r="CB142" i="36"/>
  <c r="CD142" i="36"/>
  <c r="CI142" i="36" s="1"/>
  <c r="CG142" i="36"/>
  <c r="BU166" i="36"/>
  <c r="BW166" i="36"/>
  <c r="BZ166" i="36"/>
  <c r="BU167" i="36"/>
  <c r="BW167" i="36"/>
  <c r="BZ167" i="36"/>
  <c r="BU165" i="36"/>
  <c r="BW165" i="36"/>
  <c r="BZ165" i="36"/>
  <c r="BU164" i="36"/>
  <c r="BW164" i="36"/>
  <c r="BZ164" i="36"/>
  <c r="BU168" i="36"/>
  <c r="BW168" i="36"/>
  <c r="K21" i="49" s="1"/>
  <c r="BZ168" i="36"/>
  <c r="BU153" i="36"/>
  <c r="BW153" i="36"/>
  <c r="BZ153" i="36"/>
  <c r="BU161" i="36"/>
  <c r="BW161" i="36"/>
  <c r="K33" i="49" s="1"/>
  <c r="BZ161" i="36"/>
  <c r="BU154" i="36"/>
  <c r="BW154" i="36"/>
  <c r="K28" i="49" s="1"/>
  <c r="BZ154" i="36"/>
  <c r="BU158" i="36"/>
  <c r="BW158" i="36"/>
  <c r="BZ158" i="36"/>
  <c r="BU155" i="36"/>
  <c r="BW155" i="36"/>
  <c r="K23" i="49" s="1"/>
  <c r="BZ155" i="36"/>
  <c r="BU152" i="36"/>
  <c r="BW152" i="36"/>
  <c r="BZ152" i="36"/>
  <c r="BU145" i="36"/>
  <c r="BW145" i="36"/>
  <c r="BZ145" i="36"/>
  <c r="BU146" i="36"/>
  <c r="BW146" i="36"/>
  <c r="BZ146" i="36"/>
  <c r="BU138" i="36"/>
  <c r="BW138" i="36"/>
  <c r="BZ138" i="36"/>
  <c r="BU137" i="36"/>
  <c r="BW137" i="36"/>
  <c r="BZ137" i="36"/>
  <c r="BU147" i="36"/>
  <c r="BW147" i="36"/>
  <c r="BZ147" i="36"/>
  <c r="BU144" i="36"/>
  <c r="BW144" i="36"/>
  <c r="BZ144" i="36"/>
  <c r="BU148" i="36"/>
  <c r="BW148" i="36"/>
  <c r="BZ148" i="36"/>
  <c r="BU143" i="36"/>
  <c r="BW143" i="36"/>
  <c r="BZ143" i="36"/>
  <c r="BU141" i="36"/>
  <c r="BW141" i="36"/>
  <c r="BZ141" i="36"/>
  <c r="BW50" i="36"/>
  <c r="BU50" i="36"/>
  <c r="BL163" i="36"/>
  <c r="BN163" i="36"/>
  <c r="BN41" i="36" s="1"/>
  <c r="BN182" i="36" s="1"/>
  <c r="BP163" i="36"/>
  <c r="I10" i="49" s="1"/>
  <c r="BL150" i="36"/>
  <c r="BP150" i="36"/>
  <c r="I11" i="49" s="1"/>
  <c r="BL135" i="36"/>
  <c r="BU135" i="36"/>
  <c r="BP135" i="36"/>
  <c r="I9" i="49" s="1"/>
  <c r="BZ102" i="36"/>
  <c r="BZ104" i="36"/>
  <c r="BZ125" i="36"/>
  <c r="BZ75" i="36"/>
  <c r="BZ112" i="36"/>
  <c r="BS84" i="36"/>
  <c r="BS68" i="36"/>
  <c r="BS64" i="36"/>
  <c r="BS55" i="36"/>
  <c r="BS58" i="36"/>
  <c r="BS81" i="36"/>
  <c r="BS91" i="36"/>
  <c r="BS103" i="36"/>
  <c r="BS110" i="36"/>
  <c r="BS95" i="36"/>
  <c r="BS96" i="36"/>
  <c r="BS133" i="36"/>
  <c r="BS82" i="36"/>
  <c r="BS123" i="36"/>
  <c r="BS124" i="36"/>
  <c r="BS114" i="36"/>
  <c r="BS51" i="36"/>
  <c r="BS132" i="36"/>
  <c r="BS70" i="36"/>
  <c r="BS61" i="36"/>
  <c r="BS101" i="36"/>
  <c r="BS120" i="36"/>
  <c r="BS113" i="36"/>
  <c r="BS76" i="36"/>
  <c r="BS86" i="36"/>
  <c r="BS106" i="36"/>
  <c r="BS67" i="36"/>
  <c r="BS122" i="36"/>
  <c r="BS92" i="36"/>
  <c r="BS78" i="36"/>
  <c r="BS116" i="36"/>
  <c r="BS65" i="36"/>
  <c r="BS63" i="36"/>
  <c r="BS100" i="36"/>
  <c r="BS62" i="36"/>
  <c r="BS127" i="36"/>
  <c r="BS93" i="36"/>
  <c r="BS56" i="36"/>
  <c r="BS111" i="36"/>
  <c r="BS126" i="36"/>
  <c r="BS119" i="36"/>
  <c r="BS59" i="36"/>
  <c r="BS60" i="36"/>
  <c r="BS94" i="36"/>
  <c r="BS80" i="36"/>
  <c r="BS57" i="36"/>
  <c r="BS117" i="36"/>
  <c r="BS115" i="36"/>
  <c r="BS130" i="36"/>
  <c r="BS72" i="36"/>
  <c r="BS73" i="36"/>
  <c r="BS128" i="36"/>
  <c r="CD75" i="36"/>
  <c r="CG75" i="36" s="1"/>
  <c r="CB75" i="36"/>
  <c r="CB112" i="36"/>
  <c r="CD112" i="36"/>
  <c r="CG112" i="36" s="1"/>
  <c r="CI69" i="36"/>
  <c r="BU84" i="36"/>
  <c r="BW84" i="36"/>
  <c r="BU68" i="36"/>
  <c r="BW68" i="36"/>
  <c r="BU64" i="36"/>
  <c r="BW64" i="36"/>
  <c r="BU55" i="36"/>
  <c r="BW55" i="36"/>
  <c r="BU58" i="36"/>
  <c r="BW58" i="36"/>
  <c r="BU81" i="36"/>
  <c r="BW81" i="36"/>
  <c r="BU91" i="36"/>
  <c r="BW91" i="36"/>
  <c r="BU103" i="36"/>
  <c r="BW103" i="36"/>
  <c r="BU110" i="36"/>
  <c r="BW110" i="36"/>
  <c r="BU95" i="36"/>
  <c r="BW95" i="36"/>
  <c r="BU96" i="36"/>
  <c r="BW96" i="36"/>
  <c r="BU133" i="36"/>
  <c r="BW133" i="36"/>
  <c r="BU82" i="36"/>
  <c r="BW82" i="36"/>
  <c r="BU123" i="36"/>
  <c r="BW123" i="36"/>
  <c r="BU124" i="36"/>
  <c r="BW124" i="36"/>
  <c r="BU114" i="36"/>
  <c r="BW114" i="36"/>
  <c r="BU51" i="36"/>
  <c r="BW51" i="36"/>
  <c r="BP42" i="36"/>
  <c r="BU132" i="36"/>
  <c r="BW132" i="36"/>
  <c r="BU70" i="36"/>
  <c r="BW70" i="36"/>
  <c r="BU61" i="36"/>
  <c r="BW61" i="36"/>
  <c r="BU101" i="36"/>
  <c r="BW101" i="36"/>
  <c r="BU120" i="36"/>
  <c r="BW120" i="36"/>
  <c r="BU113" i="36"/>
  <c r="BW113" i="36"/>
  <c r="BU76" i="36"/>
  <c r="BW76" i="36"/>
  <c r="BU86" i="36"/>
  <c r="BW86" i="36"/>
  <c r="BU106" i="36"/>
  <c r="BW106" i="36"/>
  <c r="BU67" i="36"/>
  <c r="BW67" i="36"/>
  <c r="BU122" i="36"/>
  <c r="BW122" i="36"/>
  <c r="BU92" i="36"/>
  <c r="BW92" i="36"/>
  <c r="BU78" i="36"/>
  <c r="BW78" i="36"/>
  <c r="BU116" i="36"/>
  <c r="BW116" i="36"/>
  <c r="BU65" i="36"/>
  <c r="BW65" i="36"/>
  <c r="BU63" i="36"/>
  <c r="BW63" i="36"/>
  <c r="BU100" i="36"/>
  <c r="BW100" i="36"/>
  <c r="BU62" i="36"/>
  <c r="BW62" i="36"/>
  <c r="BU127" i="36"/>
  <c r="BW127" i="36"/>
  <c r="BU93" i="36"/>
  <c r="BW93" i="36"/>
  <c r="BU56" i="36"/>
  <c r="BW56" i="36"/>
  <c r="BU111" i="36"/>
  <c r="BW111" i="36"/>
  <c r="CD125" i="36"/>
  <c r="CG125" i="36" s="1"/>
  <c r="CB125" i="36"/>
  <c r="BU126" i="36"/>
  <c r="BW126" i="36"/>
  <c r="BU119" i="36"/>
  <c r="BW119" i="36"/>
  <c r="BU59" i="36"/>
  <c r="BW59" i="36"/>
  <c r="BU60" i="36"/>
  <c r="BW60" i="36"/>
  <c r="BU94" i="36"/>
  <c r="BW94" i="36"/>
  <c r="BU80" i="36"/>
  <c r="BW80" i="36"/>
  <c r="BU57" i="36"/>
  <c r="BW57" i="36"/>
  <c r="BU117" i="36"/>
  <c r="BW117" i="36"/>
  <c r="BU115" i="36"/>
  <c r="BW115" i="36"/>
  <c r="BU130" i="36"/>
  <c r="BW130" i="36"/>
  <c r="BU72" i="36"/>
  <c r="BW72" i="36"/>
  <c r="BU73" i="36"/>
  <c r="BW73" i="36"/>
  <c r="BU128" i="36"/>
  <c r="BW128" i="36"/>
  <c r="CD102" i="36"/>
  <c r="CG102" i="36" s="1"/>
  <c r="CB102" i="36"/>
  <c r="CD104" i="36"/>
  <c r="CG104" i="36" s="1"/>
  <c r="CB104" i="36"/>
  <c r="CI98" i="36"/>
  <c r="AL38" i="36"/>
  <c r="AL39" i="36" s="1"/>
  <c r="AL180" i="36"/>
  <c r="AL172" i="36"/>
  <c r="AJ180" i="36"/>
  <c r="AN38" i="36"/>
  <c r="AN39" i="36" s="1"/>
  <c r="AQ4" i="36"/>
  <c r="AN180" i="36"/>
  <c r="AS4" i="36"/>
  <c r="AN172" i="36"/>
  <c r="BP24" i="36"/>
  <c r="BP181" i="36" s="1"/>
  <c r="BU24" i="36"/>
  <c r="BU181" i="36" s="1"/>
  <c r="BW24" i="36"/>
  <c r="BW181" i="36" s="1"/>
  <c r="BP41" i="36" l="1"/>
  <c r="BP182" i="36" s="1"/>
  <c r="I8" i="49"/>
  <c r="K31" i="49"/>
  <c r="K26" i="49"/>
  <c r="BL41" i="36"/>
  <c r="BL182" i="36" s="1"/>
  <c r="CB168" i="36"/>
  <c r="CD168" i="36"/>
  <c r="M21" i="49" s="1"/>
  <c r="O21" i="49" s="1"/>
  <c r="CG168" i="36"/>
  <c r="CB164" i="36"/>
  <c r="CD164" i="36"/>
  <c r="CI164" i="36" s="1"/>
  <c r="CG164" i="36"/>
  <c r="CB165" i="36"/>
  <c r="CD165" i="36"/>
  <c r="M26" i="49" s="1"/>
  <c r="CG165" i="36"/>
  <c r="CB167" i="36"/>
  <c r="CD167" i="36"/>
  <c r="CI167" i="36" s="1"/>
  <c r="CG167" i="36"/>
  <c r="CB166" i="36"/>
  <c r="CD166" i="36"/>
  <c r="CI166" i="36" s="1"/>
  <c r="CG166" i="36"/>
  <c r="CB152" i="36"/>
  <c r="CD152" i="36"/>
  <c r="CI152" i="36" s="1"/>
  <c r="CG152" i="36"/>
  <c r="CB155" i="36"/>
  <c r="CD155" i="36"/>
  <c r="M23" i="49" s="1"/>
  <c r="O23" i="49" s="1"/>
  <c r="CG155" i="36"/>
  <c r="CB158" i="36"/>
  <c r="CD158" i="36"/>
  <c r="CI158" i="36" s="1"/>
  <c r="CG158" i="36"/>
  <c r="CB154" i="36"/>
  <c r="CD154" i="36"/>
  <c r="M28" i="49" s="1"/>
  <c r="O28" i="49" s="1"/>
  <c r="CG154" i="36"/>
  <c r="CB161" i="36"/>
  <c r="CD161" i="36"/>
  <c r="M33" i="49" s="1"/>
  <c r="O33" i="49" s="1"/>
  <c r="CG161" i="36"/>
  <c r="CB153" i="36"/>
  <c r="CD153" i="36"/>
  <c r="CI153" i="36" s="1"/>
  <c r="CG153" i="36"/>
  <c r="CB141" i="36"/>
  <c r="CD141" i="36"/>
  <c r="CI141" i="36" s="1"/>
  <c r="CG141" i="36"/>
  <c r="CB143" i="36"/>
  <c r="CD143" i="36"/>
  <c r="CI143" i="36" s="1"/>
  <c r="CG143" i="36"/>
  <c r="CB148" i="36"/>
  <c r="CD148" i="36"/>
  <c r="CI148" i="36" s="1"/>
  <c r="CG148" i="36"/>
  <c r="CB144" i="36"/>
  <c r="CD144" i="36"/>
  <c r="CI144" i="36" s="1"/>
  <c r="CG144" i="36"/>
  <c r="CB147" i="36"/>
  <c r="CD147" i="36"/>
  <c r="CI147" i="36" s="1"/>
  <c r="CG147" i="36"/>
  <c r="CB137" i="36"/>
  <c r="CD137" i="36"/>
  <c r="CI137" i="36" s="1"/>
  <c r="CG137" i="36"/>
  <c r="CB138" i="36"/>
  <c r="CD138" i="36"/>
  <c r="CI138" i="36" s="1"/>
  <c r="CG138" i="36"/>
  <c r="CB146" i="36"/>
  <c r="CD146" i="36"/>
  <c r="CI146" i="36" s="1"/>
  <c r="CG146" i="36"/>
  <c r="CB145" i="36"/>
  <c r="CD145" i="36"/>
  <c r="CI145" i="36" s="1"/>
  <c r="CG145" i="36"/>
  <c r="CD50" i="36"/>
  <c r="CB50" i="36"/>
  <c r="BZ50" i="36"/>
  <c r="BU163" i="36"/>
  <c r="BW163" i="36"/>
  <c r="K10" i="49" s="1"/>
  <c r="BS163" i="36"/>
  <c r="BU150" i="36"/>
  <c r="BW150" i="36"/>
  <c r="K11" i="49" s="1"/>
  <c r="CB150" i="36"/>
  <c r="BS150" i="36"/>
  <c r="CB135" i="36"/>
  <c r="BW135" i="36"/>
  <c r="K9" i="49" s="1"/>
  <c r="BS135" i="36"/>
  <c r="BZ128" i="36"/>
  <c r="BZ73" i="36"/>
  <c r="BZ72" i="36"/>
  <c r="BZ130" i="36"/>
  <c r="BZ115" i="36"/>
  <c r="BZ117" i="36"/>
  <c r="BZ57" i="36"/>
  <c r="BZ80" i="36"/>
  <c r="BZ94" i="36"/>
  <c r="BZ60" i="36"/>
  <c r="BZ59" i="36"/>
  <c r="BZ119" i="36"/>
  <c r="BZ126" i="36"/>
  <c r="BZ111" i="36"/>
  <c r="BZ56" i="36"/>
  <c r="BZ93" i="36"/>
  <c r="BZ127" i="36"/>
  <c r="BZ62" i="36"/>
  <c r="BZ100" i="36"/>
  <c r="BZ63" i="36"/>
  <c r="BZ65" i="36"/>
  <c r="BZ116" i="36"/>
  <c r="BZ78" i="36"/>
  <c r="BZ92" i="36"/>
  <c r="BZ122" i="36"/>
  <c r="BZ67" i="36"/>
  <c r="BZ106" i="36"/>
  <c r="BZ86" i="36"/>
  <c r="BZ76" i="36"/>
  <c r="BZ113" i="36"/>
  <c r="BZ120" i="36"/>
  <c r="BZ101" i="36"/>
  <c r="BZ61" i="36"/>
  <c r="BZ70" i="36"/>
  <c r="BZ132" i="36"/>
  <c r="BZ51" i="36"/>
  <c r="BZ114" i="36"/>
  <c r="BZ124" i="36"/>
  <c r="BZ123" i="36"/>
  <c r="BZ82" i="36"/>
  <c r="BZ133" i="36"/>
  <c r="BZ96" i="36"/>
  <c r="BZ95" i="36"/>
  <c r="BZ110" i="36"/>
  <c r="BZ103" i="36"/>
  <c r="BZ91" i="36"/>
  <c r="BZ81" i="36"/>
  <c r="BZ58" i="36"/>
  <c r="BZ55" i="36"/>
  <c r="BZ64" i="36"/>
  <c r="BZ68" i="36"/>
  <c r="BZ84" i="36"/>
  <c r="CI112" i="36"/>
  <c r="CI75" i="36"/>
  <c r="CB128" i="36"/>
  <c r="CD128" i="36"/>
  <c r="CG128" i="36" s="1"/>
  <c r="CB73" i="36"/>
  <c r="CD73" i="36"/>
  <c r="CG73" i="36" s="1"/>
  <c r="CB72" i="36"/>
  <c r="CD72" i="36"/>
  <c r="CG72" i="36" s="1"/>
  <c r="CB130" i="36"/>
  <c r="CD130" i="36"/>
  <c r="CG130" i="36" s="1"/>
  <c r="CB115" i="36"/>
  <c r="CD115" i="36"/>
  <c r="CG115" i="36" s="1"/>
  <c r="CB117" i="36"/>
  <c r="CD117" i="36"/>
  <c r="CG117" i="36" s="1"/>
  <c r="CB57" i="36"/>
  <c r="CD57" i="36"/>
  <c r="CG57" i="36" s="1"/>
  <c r="CB80" i="36"/>
  <c r="CD80" i="36"/>
  <c r="CG80" i="36" s="1"/>
  <c r="CB94" i="36"/>
  <c r="CD94" i="36"/>
  <c r="CG94" i="36" s="1"/>
  <c r="CB60" i="36"/>
  <c r="CD60" i="36"/>
  <c r="CG60" i="36" s="1"/>
  <c r="CB59" i="36"/>
  <c r="CD59" i="36"/>
  <c r="CG59" i="36" s="1"/>
  <c r="CB119" i="36"/>
  <c r="CD119" i="36"/>
  <c r="CG119" i="36" s="1"/>
  <c r="CB126" i="36"/>
  <c r="CD126" i="36"/>
  <c r="CG126" i="36" s="1"/>
  <c r="CI125" i="36"/>
  <c r="CB111" i="36"/>
  <c r="CD111" i="36"/>
  <c r="CG111" i="36" s="1"/>
  <c r="CB56" i="36"/>
  <c r="CD56" i="36"/>
  <c r="CG56" i="36" s="1"/>
  <c r="CB93" i="36"/>
  <c r="CD93" i="36"/>
  <c r="CG93" i="36" s="1"/>
  <c r="CB127" i="36"/>
  <c r="CD127" i="36"/>
  <c r="CG127" i="36" s="1"/>
  <c r="CB62" i="36"/>
  <c r="CD62" i="36"/>
  <c r="CG62" i="36" s="1"/>
  <c r="CB100" i="36"/>
  <c r="CD100" i="36"/>
  <c r="CG100" i="36" s="1"/>
  <c r="CB63" i="36"/>
  <c r="CD63" i="36"/>
  <c r="CG63" i="36" s="1"/>
  <c r="CB65" i="36"/>
  <c r="CD65" i="36"/>
  <c r="CG65" i="36" s="1"/>
  <c r="CB116" i="36"/>
  <c r="CD116" i="36"/>
  <c r="CG116" i="36" s="1"/>
  <c r="CB78" i="36"/>
  <c r="CD78" i="36"/>
  <c r="CG78" i="36" s="1"/>
  <c r="CB92" i="36"/>
  <c r="CD92" i="36"/>
  <c r="CG92" i="36" s="1"/>
  <c r="CB122" i="36"/>
  <c r="CD122" i="36"/>
  <c r="CG122" i="36" s="1"/>
  <c r="CB67" i="36"/>
  <c r="CD67" i="36"/>
  <c r="CG67" i="36" s="1"/>
  <c r="CB106" i="36"/>
  <c r="CD106" i="36"/>
  <c r="CG106" i="36" s="1"/>
  <c r="CB86" i="36"/>
  <c r="CD86" i="36"/>
  <c r="CG86" i="36" s="1"/>
  <c r="CB76" i="36"/>
  <c r="CD76" i="36"/>
  <c r="CG76" i="36" s="1"/>
  <c r="CB113" i="36"/>
  <c r="CD113" i="36"/>
  <c r="CG113" i="36" s="1"/>
  <c r="CB120" i="36"/>
  <c r="CD120" i="36"/>
  <c r="CG120" i="36" s="1"/>
  <c r="CB101" i="36"/>
  <c r="CD101" i="36"/>
  <c r="CG101" i="36" s="1"/>
  <c r="CB61" i="36"/>
  <c r="CD61" i="36"/>
  <c r="CG61" i="36" s="1"/>
  <c r="CB70" i="36"/>
  <c r="CD70" i="36"/>
  <c r="CG70" i="36" s="1"/>
  <c r="CB132" i="36"/>
  <c r="CD132" i="36"/>
  <c r="CB51" i="36"/>
  <c r="CD51" i="36"/>
  <c r="CG51" i="36" s="1"/>
  <c r="BW42" i="36"/>
  <c r="K8" i="49" s="1"/>
  <c r="BS42" i="36"/>
  <c r="BS41" i="36" s="1"/>
  <c r="BS182" i="36" s="1"/>
  <c r="BU42" i="36"/>
  <c r="BU41" i="36" s="1"/>
  <c r="BU182" i="36" s="1"/>
  <c r="CB114" i="36"/>
  <c r="CD114" i="36"/>
  <c r="CG114" i="36" s="1"/>
  <c r="CB124" i="36"/>
  <c r="CD124" i="36"/>
  <c r="CG124" i="36" s="1"/>
  <c r="CB123" i="36"/>
  <c r="CD123" i="36"/>
  <c r="CG123" i="36" s="1"/>
  <c r="CB82" i="36"/>
  <c r="CD82" i="36"/>
  <c r="CG82" i="36" s="1"/>
  <c r="CB133" i="36"/>
  <c r="CD133" i="36"/>
  <c r="CG133" i="36" s="1"/>
  <c r="CB96" i="36"/>
  <c r="CD96" i="36"/>
  <c r="CG96" i="36" s="1"/>
  <c r="CB95" i="36"/>
  <c r="CD95" i="36"/>
  <c r="CG95" i="36" s="1"/>
  <c r="CB110" i="36"/>
  <c r="CD110" i="36"/>
  <c r="CG110" i="36" s="1"/>
  <c r="CB103" i="36"/>
  <c r="CD103" i="36"/>
  <c r="CG103" i="36" s="1"/>
  <c r="CB91" i="36"/>
  <c r="CD91" i="36"/>
  <c r="CG91" i="36" s="1"/>
  <c r="CB81" i="36"/>
  <c r="CD81" i="36"/>
  <c r="CG81" i="36" s="1"/>
  <c r="CB58" i="36"/>
  <c r="CD58" i="36"/>
  <c r="CG58" i="36" s="1"/>
  <c r="CB55" i="36"/>
  <c r="CD55" i="36"/>
  <c r="CG55" i="36" s="1"/>
  <c r="CB64" i="36"/>
  <c r="CD64" i="36"/>
  <c r="CG64" i="36" s="1"/>
  <c r="CB68" i="36"/>
  <c r="CD68" i="36"/>
  <c r="CG68" i="36" s="1"/>
  <c r="CB84" i="36"/>
  <c r="CD84" i="36"/>
  <c r="CG84" i="36" s="1"/>
  <c r="CI104" i="36"/>
  <c r="CB42" i="36"/>
  <c r="BZ42" i="36"/>
  <c r="CI102" i="36"/>
  <c r="AJ24" i="36"/>
  <c r="AS180" i="36"/>
  <c r="AS38" i="36"/>
  <c r="AS39" i="36" s="1"/>
  <c r="AS172" i="36"/>
  <c r="AQ180" i="36"/>
  <c r="CB24" i="36"/>
  <c r="CB181" i="36" s="1"/>
  <c r="O26" i="49" l="1"/>
  <c r="K37" i="49"/>
  <c r="M31" i="49"/>
  <c r="O31" i="49" s="1"/>
  <c r="M37" i="49"/>
  <c r="N17" i="49"/>
  <c r="N15" i="49"/>
  <c r="CG132" i="36"/>
  <c r="CI161" i="36"/>
  <c r="CI154" i="36"/>
  <c r="CI155" i="36"/>
  <c r="CI165" i="36"/>
  <c r="CI168" i="36"/>
  <c r="CG163" i="36"/>
  <c r="BW41" i="36"/>
  <c r="BW182" i="36" s="1"/>
  <c r="CI50" i="36"/>
  <c r="CG50" i="36"/>
  <c r="BZ163" i="36"/>
  <c r="CB163" i="36"/>
  <c r="CB41" i="36" s="1"/>
  <c r="CB182" i="36" s="1"/>
  <c r="CD163" i="36"/>
  <c r="BZ150" i="36"/>
  <c r="CD150" i="36"/>
  <c r="CG135" i="36"/>
  <c r="BZ135" i="36"/>
  <c r="BZ41" i="36" s="1"/>
  <c r="BZ182" i="36" s="1"/>
  <c r="CD135" i="36"/>
  <c r="CI135" i="36"/>
  <c r="CI84" i="36"/>
  <c r="CI68" i="36"/>
  <c r="CI64" i="36"/>
  <c r="CI55" i="36"/>
  <c r="CI58" i="36"/>
  <c r="CI81" i="36"/>
  <c r="CI91" i="36"/>
  <c r="CI103" i="36"/>
  <c r="CI110" i="36"/>
  <c r="CI95" i="36"/>
  <c r="CI96" i="36"/>
  <c r="CI133" i="36"/>
  <c r="CI82" i="36"/>
  <c r="CI123" i="36"/>
  <c r="CI124" i="36"/>
  <c r="CI114" i="36"/>
  <c r="CI51" i="36"/>
  <c r="CI132" i="36"/>
  <c r="CI70" i="36"/>
  <c r="CI61" i="36"/>
  <c r="CI101" i="36"/>
  <c r="CI120" i="36"/>
  <c r="CI113" i="36"/>
  <c r="CI76" i="36"/>
  <c r="CI86" i="36"/>
  <c r="CI106" i="36"/>
  <c r="CI67" i="36"/>
  <c r="CI122" i="36"/>
  <c r="CI92" i="36"/>
  <c r="CI78" i="36"/>
  <c r="CI116" i="36"/>
  <c r="CI65" i="36"/>
  <c r="CI63" i="36"/>
  <c r="CI100" i="36"/>
  <c r="CI62" i="36"/>
  <c r="CI127" i="36"/>
  <c r="CI93" i="36"/>
  <c r="CI56" i="36"/>
  <c r="CI111" i="36"/>
  <c r="CI126" i="36"/>
  <c r="CI119" i="36"/>
  <c r="CI59" i="36"/>
  <c r="CI60" i="36"/>
  <c r="CI94" i="36"/>
  <c r="CI80" i="36"/>
  <c r="CI57" i="36"/>
  <c r="CI117" i="36"/>
  <c r="CI115" i="36"/>
  <c r="CI130" i="36"/>
  <c r="CI72" i="36"/>
  <c r="CI73" i="36"/>
  <c r="CI128" i="36"/>
  <c r="AJ181" i="36"/>
  <c r="AJ172" i="36"/>
  <c r="AJ38" i="36"/>
  <c r="AJ39" i="36" s="1"/>
  <c r="AQ24" i="36"/>
  <c r="CD24" i="36"/>
  <c r="CD181" i="36" s="1"/>
  <c r="CI24" i="36"/>
  <c r="CI181" i="36" s="1"/>
  <c r="N65" i="49" l="1"/>
  <c r="N67" i="49" s="1"/>
  <c r="N71" i="49" s="1"/>
  <c r="N73" i="49"/>
  <c r="N87" i="49" s="1"/>
  <c r="N90" i="49" s="1"/>
  <c r="CI163" i="36"/>
  <c r="CI150" i="36"/>
  <c r="CG150" i="36"/>
  <c r="AQ181" i="36"/>
  <c r="AQ172" i="36"/>
  <c r="AQ38" i="36"/>
  <c r="AQ39" i="36" s="1"/>
  <c r="N77" i="49" l="1"/>
  <c r="N83" i="49" s="1"/>
  <c r="M9" i="49"/>
  <c r="O9" i="49" s="1"/>
  <c r="N80" i="49" l="1"/>
  <c r="M10" i="49"/>
  <c r="O10" i="49" s="1"/>
  <c r="M11" i="49" l="1"/>
  <c r="O11" i="49" s="1"/>
  <c r="O35" i="49" l="1"/>
  <c r="O37" i="49" s="1"/>
  <c r="C85" i="49" l="1"/>
  <c r="O6" i="49" l="1"/>
  <c r="O89" i="49" l="1"/>
  <c r="O88" i="49"/>
  <c r="O14" i="49"/>
  <c r="M14" i="49" l="1"/>
  <c r="AZ21" i="36" l="1"/>
  <c r="AZ4" i="36" s="1"/>
  <c r="AU21" i="36"/>
  <c r="AX21" i="36"/>
  <c r="AX4" i="36" s="1"/>
  <c r="AU4" i="36" l="1"/>
  <c r="C7" i="49"/>
  <c r="AU38" i="36"/>
  <c r="AU39" i="36" s="1"/>
  <c r="BG21" i="36"/>
  <c r="BI21" i="36"/>
  <c r="G7" i="49" s="1"/>
  <c r="AU180" i="36"/>
  <c r="AU172" i="36"/>
  <c r="BB21" i="36"/>
  <c r="BB4" i="36" l="1"/>
  <c r="E7" i="49"/>
  <c r="C17" i="49"/>
  <c r="C15" i="49"/>
  <c r="BG4" i="36"/>
  <c r="BG38" i="36" s="1"/>
  <c r="BG39" i="36" s="1"/>
  <c r="AX24" i="36"/>
  <c r="AX181" i="36" s="1"/>
  <c r="BB38" i="36"/>
  <c r="BB39" i="36" s="1"/>
  <c r="BL21" i="36"/>
  <c r="BU21" i="36"/>
  <c r="BU4" i="36" s="1"/>
  <c r="BN21" i="36"/>
  <c r="BN4" i="36" s="1"/>
  <c r="BI4" i="36"/>
  <c r="BI38" i="36" s="1"/>
  <c r="BI39" i="36" s="1"/>
  <c r="BE21" i="36"/>
  <c r="AX172" i="36"/>
  <c r="AX180" i="36"/>
  <c r="AX38" i="36"/>
  <c r="AX39" i="36" s="1"/>
  <c r="AZ38" i="36"/>
  <c r="AZ39" i="36" s="1"/>
  <c r="AZ172" i="36"/>
  <c r="AZ180" i="36"/>
  <c r="BB180" i="36"/>
  <c r="BB172" i="36"/>
  <c r="C65" i="49" l="1"/>
  <c r="C67" i="49" s="1"/>
  <c r="C71" i="49" s="1"/>
  <c r="C73" i="49" s="1"/>
  <c r="BS21" i="36"/>
  <c r="BI180" i="36"/>
  <c r="BU180" i="36"/>
  <c r="BU38" i="36"/>
  <c r="BU39" i="36" s="1"/>
  <c r="BU172" i="36"/>
  <c r="BN180" i="36"/>
  <c r="BN172" i="36"/>
  <c r="BN38" i="36"/>
  <c r="BN39" i="36" s="1"/>
  <c r="CB21" i="36"/>
  <c r="CB4" i="36" s="1"/>
  <c r="BP21" i="36"/>
  <c r="BI172" i="36"/>
  <c r="BE4" i="36"/>
  <c r="BG180" i="36"/>
  <c r="BG172" i="36"/>
  <c r="C77" i="49" l="1"/>
  <c r="C80" i="49" s="1"/>
  <c r="C87" i="49"/>
  <c r="C90" i="49" s="1"/>
  <c r="C82" i="49"/>
  <c r="BP4" i="36"/>
  <c r="BP38" i="36" s="1"/>
  <c r="BP39" i="36" s="1"/>
  <c r="I7" i="49"/>
  <c r="E17" i="49"/>
  <c r="BE180" i="36"/>
  <c r="BP180" i="36"/>
  <c r="BZ21" i="36"/>
  <c r="BP172" i="36"/>
  <c r="CB180" i="36"/>
  <c r="CB38" i="36"/>
  <c r="CB39" i="36" s="1"/>
  <c r="CB172" i="36"/>
  <c r="BW21" i="36"/>
  <c r="K7" i="49" s="1"/>
  <c r="E15" i="49"/>
  <c r="BL4" i="36"/>
  <c r="BS4" i="36"/>
  <c r="E65" i="49" l="1"/>
  <c r="E67" i="49" s="1"/>
  <c r="E71" i="49" s="1"/>
  <c r="E73" i="49"/>
  <c r="BW4" i="36"/>
  <c r="G17" i="49"/>
  <c r="BE24" i="36"/>
  <c r="BW172" i="36"/>
  <c r="CG21" i="36"/>
  <c r="CI21" i="36"/>
  <c r="CI4" i="36" s="1"/>
  <c r="CD21" i="36"/>
  <c r="M7" i="49" s="1"/>
  <c r="G15" i="49"/>
  <c r="BL180" i="36"/>
  <c r="CG4" i="36"/>
  <c r="D20" i="73" s="1"/>
  <c r="C83" i="49"/>
  <c r="E77" i="49" l="1"/>
  <c r="E80" i="49" s="1"/>
  <c r="E87" i="49"/>
  <c r="E90" i="49" s="1"/>
  <c r="G65" i="49"/>
  <c r="G67" i="49" s="1"/>
  <c r="G71" i="49" s="1"/>
  <c r="G73" i="49"/>
  <c r="BW38" i="36"/>
  <c r="BW39" i="36" s="1"/>
  <c r="BW180" i="36"/>
  <c r="I15" i="49"/>
  <c r="BE181" i="36"/>
  <c r="BE172" i="36"/>
  <c r="BE38" i="36"/>
  <c r="BE39" i="36" s="1"/>
  <c r="BS24" i="36"/>
  <c r="BL24" i="36"/>
  <c r="CD42" i="36"/>
  <c r="M8" i="49" s="1"/>
  <c r="O8" i="49" s="1"/>
  <c r="CI42" i="36"/>
  <c r="CI41" i="36" s="1"/>
  <c r="CI182" i="36" s="1"/>
  <c r="CI180" i="36"/>
  <c r="CI38" i="36"/>
  <c r="CI39" i="36" s="1"/>
  <c r="CI172" i="36"/>
  <c r="CD4" i="36"/>
  <c r="CD38" i="36" s="1"/>
  <c r="CD39" i="36" s="1"/>
  <c r="CG180" i="36"/>
  <c r="I17" i="49"/>
  <c r="O7" i="49"/>
  <c r="BZ4" i="36"/>
  <c r="BS180" i="36"/>
  <c r="BS172" i="36"/>
  <c r="E83" i="49"/>
  <c r="E82" i="49"/>
  <c r="G77" i="49" l="1"/>
  <c r="G80" i="49" s="1"/>
  <c r="G87" i="49"/>
  <c r="G90" i="49" s="1"/>
  <c r="I65" i="49"/>
  <c r="I67" i="49" s="1"/>
  <c r="I71" i="49" s="1"/>
  <c r="I73" i="49"/>
  <c r="K15" i="49"/>
  <c r="M15" i="49"/>
  <c r="O17" i="49"/>
  <c r="BL181" i="36"/>
  <c r="BL38" i="36"/>
  <c r="BL39" i="36" s="1"/>
  <c r="BL172" i="36"/>
  <c r="BS181" i="36"/>
  <c r="BS38" i="36"/>
  <c r="BS39" i="36" s="1"/>
  <c r="CD41" i="36"/>
  <c r="CD182" i="36" s="1"/>
  <c r="M17" i="49"/>
  <c r="CD180" i="36"/>
  <c r="CD172" i="36"/>
  <c r="K17" i="49"/>
  <c r="BZ180" i="36"/>
  <c r="G82" i="49"/>
  <c r="G83" i="49"/>
  <c r="I77" i="49" l="1"/>
  <c r="I80" i="49" s="1"/>
  <c r="I87" i="49"/>
  <c r="I90" i="49" s="1"/>
  <c r="K65" i="49"/>
  <c r="K67" i="49" s="1"/>
  <c r="K71" i="49" s="1"/>
  <c r="M65" i="49"/>
  <c r="M67" i="49" s="1"/>
  <c r="O65" i="49"/>
  <c r="O67" i="49" s="1"/>
  <c r="K73" i="49"/>
  <c r="O71" i="49"/>
  <c r="M71" i="49"/>
  <c r="M73" i="49" s="1"/>
  <c r="BZ24" i="36"/>
  <c r="CG24" i="36"/>
  <c r="I83" i="49"/>
  <c r="I82" i="49"/>
  <c r="M77" i="49" l="1"/>
  <c r="M87" i="49"/>
  <c r="M90" i="49" s="1"/>
  <c r="K77" i="49"/>
  <c r="K80" i="49" s="1"/>
  <c r="K87" i="49"/>
  <c r="K90" i="49" s="1"/>
  <c r="M80" i="49"/>
  <c r="M83" i="49"/>
  <c r="O73" i="49"/>
  <c r="O87" i="49" s="1"/>
  <c r="O90" i="49" s="1"/>
  <c r="BZ181" i="36"/>
  <c r="BZ38" i="36"/>
  <c r="BZ172" i="36"/>
  <c r="CG181" i="36"/>
  <c r="CG38" i="36"/>
  <c r="CG39" i="36" s="1"/>
  <c r="K82" i="49"/>
  <c r="K83" i="49"/>
  <c r="O74" i="49" l="1"/>
  <c r="O77" i="49"/>
  <c r="M82" i="49"/>
  <c r="BZ39" i="36"/>
  <c r="O80" i="49" l="1"/>
  <c r="O82" i="49"/>
  <c r="CG42" i="36"/>
  <c r="CG41" i="36"/>
  <c r="CG172" i="36" s="1"/>
  <c r="CG182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Vivian</author>
    <author>tc={ECA18E8D-A554-4748-82BD-B5C0EC22F4B2}</author>
    <author>tc={3607B23A-F064-456D-BE6A-FEE834DE32E8}</author>
  </authors>
  <commentList>
    <comment ref="AA7" authorId="0" shapeId="0" xr:uid="{ED52649D-21A4-421D-9C69-66617E9C79EA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Espectativas 2 nuevos clientes de consultoria
</t>
        </r>
      </text>
    </comment>
    <comment ref="AA8" authorId="0" shapeId="0" xr:uid="{D002143B-994C-4173-8EF8-12017B365AE1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Espectativas 2 nuevos clientes de revisoria fiscal
</t>
        </r>
      </text>
    </comment>
    <comment ref="S10" authorId="0" shapeId="0" xr:uid="{F80F44DB-2A86-4290-AA2C-BC23404E6060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Aromaticos e Intelligent planeacion del año pasado</t>
        </r>
      </text>
    </comment>
    <comment ref="AN10" authorId="0" shapeId="0" xr:uid="{3D5B0D76-CD9F-40EC-872D-702C9B4A6675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Nuevo contrato Aromaticos e Intelliegent -Incremento del 10%</t>
        </r>
      </text>
    </comment>
    <comment ref="AO10" authorId="0" shapeId="0" xr:uid="{9044E991-79AC-4B74-B4DC-C98621F46436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espectativa de cerrar 2 nuevos clientes de planeación</t>
        </r>
      </text>
    </comment>
    <comment ref="BI10" authorId="0" shapeId="0" xr:uid="{3651B686-1D23-4931-86AE-7D1C9E3FAC7E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Segunda factura de Aromaticos e Intelligent</t>
        </r>
      </text>
    </comment>
    <comment ref="BJ10" authorId="0" shapeId="0" xr:uid="{600DD2D2-B50C-4BFA-B58C-8832867FCA73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espectativa de cerrar 2 nuevos clientes de planeación</t>
        </r>
      </text>
    </comment>
    <comment ref="CD10" authorId="0" shapeId="0" xr:uid="{9A9E8D38-C20B-47CD-A846-AC8E13B66276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tercera factura de Aromaticos e Intelligent</t>
        </r>
      </text>
    </comment>
    <comment ref="CE10" authorId="0" shapeId="0" xr:uid="{15F18DBC-F4C8-47B5-91F2-B790FA8BB5CE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espectativa de cerrar 2 nuevos clientes de planeación</t>
        </r>
      </text>
    </comment>
    <comment ref="AU11" authorId="0" shapeId="0" xr:uid="{D597A409-2493-4A23-862D-CB679E002A6A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Taller virtual - meta 50 participantes - $60.000</t>
        </r>
      </text>
    </comment>
    <comment ref="BB11" authorId="0" shapeId="0" xr:uid="{D751FFF6-F72F-41AF-A9E5-FB1E4EEBF8AD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Ciclo de NIIF - 4 sabados - $600.000</t>
        </r>
      </text>
    </comment>
    <comment ref="BI11" authorId="0" shapeId="0" xr:uid="{8FB704F3-DF7E-442E-84E5-69ED355E19F8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Lanzamiento Contador 10 - meta 20 personas</t>
        </r>
      </text>
    </comment>
    <comment ref="E25" authorId="0" shapeId="0" xr:uid="{2AF8767C-E4AD-4B5F-BC30-BB6AC404F755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Raul
Aleja 
Adriana 
Malcolm</t>
        </r>
      </text>
    </comment>
    <comment ref="T25" authorId="1" shapeId="0" xr:uid="{ECA18E8D-A554-4748-82BD-B5C0EC22F4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Aumento Salario Adriana</t>
      </text>
    </comment>
    <comment ref="AA25" authorId="2" shapeId="0" xr:uid="{3607B23A-F064-456D-BE6A-FEE834DE32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Aumento Salario Adriana y Malcolm</t>
      </text>
    </comment>
    <comment ref="E26" authorId="0" shapeId="0" xr:uid="{82363211-C129-4A04-8FF5-754ABC08E605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Aleja
Adriana
Malcolm
</t>
        </r>
      </text>
    </comment>
    <comment ref="E34" authorId="0" shapeId="0" xr:uid="{DAFF606D-98D4-439D-A1B4-74F916559B01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Para Raul Y Malcolm</t>
        </r>
      </text>
    </comment>
    <comment ref="E90" authorId="0" shapeId="0" xr:uid="{10D5109A-BAAA-482E-9AC1-31B21DF3C3A3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Mailchimp- correos automaticos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Vivian</author>
  </authors>
  <commentList>
    <comment ref="L8" authorId="0" shapeId="0" xr:uid="{0D99B3BA-69BF-4427-B4B3-6FAD2CE86B10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primer semestre
</t>
        </r>
      </text>
    </comment>
    <comment ref="M8" authorId="0" shapeId="0" xr:uid="{DCED695B-DD9E-4ADB-9BD0-0DC05D14C35F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segundo semestre</t>
        </r>
      </text>
    </comment>
    <comment ref="L11" authorId="0" shapeId="0" xr:uid="{DA1A8068-7523-4364-93D2-3BBB7E808DFA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primer semestre
</t>
        </r>
      </text>
    </comment>
    <comment ref="M11" authorId="0" shapeId="0" xr:uid="{1A0E9303-A63C-4BF1-9E8A-26C44E448E91}">
      <text>
        <r>
          <rPr>
            <b/>
            <sz val="9"/>
            <color indexed="81"/>
            <rFont val="Tahoma"/>
            <family val="2"/>
          </rPr>
          <t>Vivian:</t>
        </r>
        <r>
          <rPr>
            <sz val="9"/>
            <color indexed="81"/>
            <rFont val="Tahoma"/>
            <family val="2"/>
          </rPr>
          <t xml:space="preserve">
segundo semestre</t>
        </r>
      </text>
    </comment>
  </commentList>
</comments>
</file>

<file path=xl/sharedStrings.xml><?xml version="1.0" encoding="utf-8"?>
<sst xmlns="http://schemas.openxmlformats.org/spreadsheetml/2006/main" count="3434" uniqueCount="622">
  <si>
    <t>GASTOS FINANCIEROS</t>
  </si>
  <si>
    <t>INGRESOS</t>
  </si>
  <si>
    <t>Ajuste al peso</t>
  </si>
  <si>
    <t>CUENTA</t>
  </si>
  <si>
    <t>Ingresos Operacionales</t>
  </si>
  <si>
    <t>GASTO DE ADMINISTRACION</t>
  </si>
  <si>
    <t>GASTO DE VENTAS</t>
  </si>
  <si>
    <t>OTROS GASTOS OPERACIONALES</t>
  </si>
  <si>
    <t>RENTA</t>
  </si>
  <si>
    <t>UTILIDAD ANTES DE IMPUESTOS</t>
  </si>
  <si>
    <t>UTILIDAD NETA</t>
  </si>
  <si>
    <t>MARGEN BRUT0</t>
  </si>
  <si>
    <t>UTILIDAD BRUTA</t>
  </si>
  <si>
    <t>Ingresos no Operacionales</t>
  </si>
  <si>
    <t>Gastos Operacionales de Ventas</t>
  </si>
  <si>
    <t>Gasto Impuesto de Renta</t>
  </si>
  <si>
    <t>Costo de Ventas</t>
  </si>
  <si>
    <t>Utilidad Neta</t>
  </si>
  <si>
    <t>Utilidad antes de impuestos</t>
  </si>
  <si>
    <t>(+) Gastos no deducibles</t>
  </si>
  <si>
    <t>Intereses pagados e entidades oficiales(Interes de Mora)</t>
  </si>
  <si>
    <t xml:space="preserve">Costos y procesos judiciales </t>
  </si>
  <si>
    <t>Deterioro de activos fijos</t>
  </si>
  <si>
    <t>Gravamen a los movimientos financieros 4x1000</t>
  </si>
  <si>
    <t>Impuesto Diferido</t>
  </si>
  <si>
    <t>Costos y gastos de ejercicios anteriores y gastos no deducibles</t>
  </si>
  <si>
    <t>Gasto Inversion Investigacion Cientifica</t>
  </si>
  <si>
    <t>Provisión de cartera no deducible</t>
  </si>
  <si>
    <t>Depreciación de activos fijos de más no deducible</t>
  </si>
  <si>
    <t>impuesto de valorizacion</t>
  </si>
  <si>
    <t>Total gastos no deducibles</t>
  </si>
  <si>
    <t>(- ) Gastos deducibles e ingresos no gravados</t>
  </si>
  <si>
    <t>Ingresos método participación patrimonial en inversiones</t>
  </si>
  <si>
    <t>Ingresos propiedad de Inversión</t>
  </si>
  <si>
    <t>Ingresos Ajuste  al peso</t>
  </si>
  <si>
    <t>Ingresos por venta de Activos fijos consultorio 318</t>
  </si>
  <si>
    <t>ingreso por reintegro de provisiones y costos y gastos</t>
  </si>
  <si>
    <t>Ingreso por indemnizacion reclamos cias de seguros</t>
  </si>
  <si>
    <t>Ingreso por intereses presuntos (prestamos socios consultorios)</t>
  </si>
  <si>
    <t>Gasto costo exceso pago Pension-Arp-Parafiscales</t>
  </si>
  <si>
    <t xml:space="preserve">Pago en 2019 100% Industria y Comercio vigencia fiscal 2018 </t>
  </si>
  <si>
    <t>Deduccion de Imptos Industria y comercio</t>
  </si>
  <si>
    <t>Deduccion salararios y prestaciones sociales Ley 361 de 1997 (Colaboradores con discapacidad no infeior al 25% comprobada) 200% deduccion</t>
  </si>
  <si>
    <t>Deducción provision de cartera</t>
  </si>
  <si>
    <t>Reintegro de otros costos y gastos</t>
  </si>
  <si>
    <t>Reintegro por baja Siniestralidad</t>
  </si>
  <si>
    <t>Total gastos deducibles e ingresos no gravados</t>
  </si>
  <si>
    <t>(+/-) Gastos que generan diferimiento</t>
  </si>
  <si>
    <t>Efecto reducción de saldos edificio</t>
  </si>
  <si>
    <t>Gasto depreciación reducción de saldos activos</t>
  </si>
  <si>
    <t>Total gastos que generan diferimiento del impuesto</t>
  </si>
  <si>
    <t xml:space="preserve">Utilidad liquida </t>
  </si>
  <si>
    <t>Compensaciones</t>
  </si>
  <si>
    <t>Renta líquida o Perdida liquida</t>
  </si>
  <si>
    <t>Menos: IVA proporcion bienes de capital (No aplico en 2017)</t>
  </si>
  <si>
    <t>Impuesto diferido (cuentas 54050503-54050504-54050505)</t>
  </si>
  <si>
    <t>Utilidad neta</t>
  </si>
  <si>
    <t>TASA EFECTIVA GASTO IMPUESTO DE RENTA</t>
  </si>
  <si>
    <t>TASA EFECTIVA CONTABLE</t>
  </si>
  <si>
    <t xml:space="preserve">PROVISIÓN  IMPUESTO A LA RENTA </t>
  </si>
  <si>
    <t>NIT. 800.104.479-3</t>
  </si>
  <si>
    <t>Otros Gastos Operacionales</t>
  </si>
  <si>
    <t>Gastos Financieros</t>
  </si>
  <si>
    <t>Gastos Operacionales de Administración</t>
  </si>
  <si>
    <t>(+) Provisión Impuesto de Renta</t>
  </si>
  <si>
    <t>Perdida en Propiedad planta y equipo</t>
  </si>
  <si>
    <t>Renta presuntiva AÑO 2020</t>
  </si>
  <si>
    <t>Impuesto sobre la renta liquida gravable</t>
  </si>
  <si>
    <t>Descuento tributario por industruia y comercio (50%)</t>
  </si>
  <si>
    <t>IMPUESTO NETO DE RENTA</t>
  </si>
  <si>
    <t>Limitante descuento</t>
  </si>
  <si>
    <t>Retenciones</t>
  </si>
  <si>
    <t>Autorrenta</t>
  </si>
  <si>
    <t>Valor a pagar</t>
  </si>
  <si>
    <t>Renta a Julio Real</t>
  </si>
  <si>
    <t>Renta a Julio Presupuesto</t>
  </si>
  <si>
    <t>Renta a Agosto Presupuesto</t>
  </si>
  <si>
    <t>Renta a Agosto Real</t>
  </si>
  <si>
    <t>Renta a Septiembre Real</t>
  </si>
  <si>
    <t>Renta a Septiembre Presupuesto</t>
  </si>
  <si>
    <t>Renta a Octubre Presupuesto</t>
  </si>
  <si>
    <t>Renta a Octubre Real</t>
  </si>
  <si>
    <t>Renta a Noviembre Presupuesto</t>
  </si>
  <si>
    <t>Renta a Noviembre Real</t>
  </si>
  <si>
    <t>GASTOS</t>
  </si>
  <si>
    <t>CUENTAS</t>
  </si>
  <si>
    <t>23652504</t>
  </si>
  <si>
    <t>23652506</t>
  </si>
  <si>
    <t>23652509</t>
  </si>
  <si>
    <t>SALARIOS POR PAGAR</t>
  </si>
  <si>
    <t>SEGUROS</t>
  </si>
  <si>
    <t>51559510</t>
  </si>
  <si>
    <t>Utilidad líquida gravable</t>
  </si>
  <si>
    <t>INGRESOS OPERACIONALES</t>
  </si>
  <si>
    <t>Cuenta</t>
  </si>
  <si>
    <t>COMISIONES</t>
  </si>
  <si>
    <t>CESANTIAS</t>
  </si>
  <si>
    <t>PRIMA DE SERVICIOS</t>
  </si>
  <si>
    <t>VACACIONES</t>
  </si>
  <si>
    <t>AJUSTE AL PESO</t>
  </si>
  <si>
    <t>SUELDOS</t>
  </si>
  <si>
    <t>AUXILIO DE TRANSPORTE</t>
  </si>
  <si>
    <t>INTERESES SOBRE LAS CESANTIAS</t>
  </si>
  <si>
    <t>CAPACITACION AL PERSONAL</t>
  </si>
  <si>
    <t>REGISTRO MERCANTIL</t>
  </si>
  <si>
    <t>TRAMITES Y LICENCIAS</t>
  </si>
  <si>
    <t>COMBUSTIBLES Y LUBRICANTES</t>
  </si>
  <si>
    <t>IMPUESTOS ASUMIDOS</t>
  </si>
  <si>
    <t>OTROS INGRESOS OPERACIONALES</t>
  </si>
  <si>
    <t>INGRESOS FINANCIEROS</t>
  </si>
  <si>
    <t>GRAVAMEN MOVIMIENTO FINANCIERO</t>
  </si>
  <si>
    <t>Gastos no deducibles</t>
  </si>
  <si>
    <t>AÑO GRAVABLE 2021</t>
  </si>
  <si>
    <t>Provisión industria y comercio Año 2021</t>
  </si>
  <si>
    <t>Margen Bruto</t>
  </si>
  <si>
    <t>Peso sobre ingresos</t>
  </si>
  <si>
    <t>Deduccion inversion en Ciencia Tecnologia e Innovacion (Art. 31 Ley 1286 Enero/2009) Articulo 256</t>
  </si>
  <si>
    <t>Deduccion por Beneficio Primero empleo</t>
  </si>
  <si>
    <t>13050501</t>
  </si>
  <si>
    <t>SERVICIOS DE CONSULTORIA</t>
  </si>
  <si>
    <t>SERVICIOS DE REVISORIA FISCAL</t>
  </si>
  <si>
    <t>DEVOL. VENTA SERVICIO</t>
  </si>
  <si>
    <t>INGRESOS FINANCIEROS OTROS CONCEPTOS</t>
  </si>
  <si>
    <t>OTROS AUXILIOS</t>
  </si>
  <si>
    <t>BONIFICACION MERA LIBERALIDAD</t>
  </si>
  <si>
    <t>ATENCION A EMPLEADOS</t>
  </si>
  <si>
    <t>GASTOS DEPORTIVOS Y RECREACION</t>
  </si>
  <si>
    <t>APORTE PATRONAL A  A.R.P</t>
  </si>
  <si>
    <t>APORTE PATRONAL A  A.F.P.</t>
  </si>
  <si>
    <t>APORTE PATRONAL CAJA DE COMPEMSACION</t>
  </si>
  <si>
    <t>GASTOS MEDICOS Y DROGAS</t>
  </si>
  <si>
    <t>HONORARIOS ASESORIA JURIDICA</t>
  </si>
  <si>
    <t>HONORARIOS ASESORIA FINANCIERA</t>
  </si>
  <si>
    <t>HONORARIOS ASESORIA TECNICA</t>
  </si>
  <si>
    <t>IMPUESTO AL CONSUMO 4%</t>
  </si>
  <si>
    <t>IMPUESTO AL CONSUMO 8%</t>
  </si>
  <si>
    <t>ARRENDAMIENTO EDIFICACIONES</t>
  </si>
  <si>
    <t>SEGURO DE VEHICULOS</t>
  </si>
  <si>
    <t>SEGURO OTROS CONCEPTOS</t>
  </si>
  <si>
    <t>SERVICIO DE ASEO</t>
  </si>
  <si>
    <t>SERVICIO DE VIGILANCIA</t>
  </si>
  <si>
    <t>SERVICIO DE ASISTENCIA TECNICA</t>
  </si>
  <si>
    <t>SERVICIO PROCESAMIENTO ELECTRONICO DATOS</t>
  </si>
  <si>
    <t>SERVICIO ACUEDUCTO Y ALCANTARILLADO</t>
  </si>
  <si>
    <t>SERVICIO ENERGIA ELECTRICA</t>
  </si>
  <si>
    <t>SERVICIO TELEFONO FIJO</t>
  </si>
  <si>
    <t>SERVICIO TELEFONO CELULAR</t>
  </si>
  <si>
    <t>SERVICIO TRANSPORTE,FLETES Y ACARREOS</t>
  </si>
  <si>
    <t>SERVICIO DE INTERNET</t>
  </si>
  <si>
    <t>SERVICIO ENCUADERNACION Y ARCHIVO</t>
  </si>
  <si>
    <t>SERVICIO OTROS CONCEPTOS</t>
  </si>
  <si>
    <t>GASTOS NOTARIALES</t>
  </si>
  <si>
    <t>MANTENIMIENTO EQUIPO OFICINA</t>
  </si>
  <si>
    <t>MANTENIMIENTO EQUIPO COMPUTO</t>
  </si>
  <si>
    <t>MANTENIMIENTO VEHICULOS</t>
  </si>
  <si>
    <t>ARREGLOS ORNAMENTALES</t>
  </si>
  <si>
    <t>ADECUACION E INSTALACION OTROS CONCEPTOS</t>
  </si>
  <si>
    <t>GASTO VIAJE - ALOJAMIENTO</t>
  </si>
  <si>
    <t>GASTO VIAJE - SERVICIO RESTAURANTE</t>
  </si>
  <si>
    <t>GASTO VIAJE - PEAJES</t>
  </si>
  <si>
    <t>DEPRECIACION MUEBLES Y ENSERES</t>
  </si>
  <si>
    <t>DEPRECIACION EQUIPO TELECOMUNICACION</t>
  </si>
  <si>
    <t>DEPRECIACION EQUIPO TRANSPORTE</t>
  </si>
  <si>
    <t>LIBROS, SUSCRIPCIONES, PERIOD.Y REVISTAS</t>
  </si>
  <si>
    <t>GASTOS REPRESENTACION Y RELAC. PUBLICAS</t>
  </si>
  <si>
    <t>ELEMENTOS DE ASEO</t>
  </si>
  <si>
    <t>ELEMENTOS DE CAFETERIA</t>
  </si>
  <si>
    <t>UTILES Y PAPELERIA</t>
  </si>
  <si>
    <t>IMPRESORA Y TINTAS</t>
  </si>
  <si>
    <t>ENVASES Y EMPAQUES</t>
  </si>
  <si>
    <t>CASINOS Y RESTAURANTES</t>
  </si>
  <si>
    <t>DIVERSOS OTROS CONCEPTOS</t>
  </si>
  <si>
    <t>GASTOS SIN FACTURA ELECTRONICA</t>
  </si>
  <si>
    <t>HONORARIOS OTRAS ASESORIAS</t>
  </si>
  <si>
    <t>SERVICIO PUBLICIDAD, PROPAGANDA Y PROMOCION</t>
  </si>
  <si>
    <t>GASTO DE VIAJE- .ALOJAMIENTO</t>
  </si>
  <si>
    <t>CASINO Y RESTAURANTE</t>
  </si>
  <si>
    <t xml:space="preserve">ATENCION A CLIENTES </t>
  </si>
  <si>
    <t>COMISIONES BANCARIAS (PAGOS ACH TRANS)</t>
  </si>
  <si>
    <t>CUOTA MANEJO</t>
  </si>
  <si>
    <t>INTERESES ENTIDADES FINANCIERAS</t>
  </si>
  <si>
    <t>INTERESES POR MORA</t>
  </si>
  <si>
    <t>ACTIVIDADES CULTURALES Y CIVICAS</t>
  </si>
  <si>
    <t>COSTOS Y GASTOS DE EJERCICIOS ANTERIORES</t>
  </si>
  <si>
    <t>MULTAS, SANCIONES Y LITIGIOS</t>
  </si>
  <si>
    <t>DONACIONES</t>
  </si>
  <si>
    <t>Donaciones</t>
  </si>
  <si>
    <t>Descuentro Donaciones</t>
  </si>
  <si>
    <t>HONORARIOS OTROS CONCEPTOS</t>
  </si>
  <si>
    <t>PROVISION PROPIEDAD, PLANTA Y EQUIPO</t>
  </si>
  <si>
    <t>PARQUEADEROS</t>
  </si>
  <si>
    <t>CAPACITACION EMPRESARIAL</t>
  </si>
  <si>
    <t>DETALLE</t>
  </si>
  <si>
    <t>ELEMENTOS DE ASEO Y CAFETERIA - SIN FACTURA ELECTRONICA</t>
  </si>
  <si>
    <t xml:space="preserve">UTILES, PAPELERIA, Y FOTOCOPIA - SIN FACTURA ELECTRONICA </t>
  </si>
  <si>
    <t>QYV CONSULTORES S S.A.S.</t>
  </si>
  <si>
    <t>Renta a Diciembre Presupuesto 2021</t>
  </si>
  <si>
    <t>TAXIS Y BUSES</t>
  </si>
  <si>
    <t>IMPUESTO AL CONSUMO</t>
  </si>
  <si>
    <t>ADECUACIONES E INSTALACIONES ELECTRICAS</t>
  </si>
  <si>
    <t>PLANEACION TRIBUTARIA</t>
  </si>
  <si>
    <t>SERVICIO PLATAFORMA DIGITAL</t>
  </si>
  <si>
    <t>MANTENIMIENTO EQUIPO TELECOMUNICACIONES</t>
  </si>
  <si>
    <t>PAPELERIA CERTIFICADO TRADICION</t>
  </si>
  <si>
    <t>APORTE PATRONAL A A.R.P.</t>
  </si>
  <si>
    <t>APORTE PATRONAL A A.F.P.</t>
  </si>
  <si>
    <t>APORTE PATRONAL A CAJA DE COMPEMSACION</t>
  </si>
  <si>
    <t>COSTO DE VENTA</t>
  </si>
  <si>
    <t>PRESUPUESTO</t>
  </si>
  <si>
    <t>AGOSTO</t>
  </si>
  <si>
    <t>MES REAL</t>
  </si>
  <si>
    <t>VARIACION</t>
  </si>
  <si>
    <t>ACUMULADO PRESUPUESTO</t>
  </si>
  <si>
    <t>DICIEMBRE</t>
  </si>
  <si>
    <t>NOVIEMBRE</t>
  </si>
  <si>
    <t>OCTUBRE</t>
  </si>
  <si>
    <t>SEPTIEMBRE</t>
  </si>
  <si>
    <t>JULIO</t>
  </si>
  <si>
    <t>JUNIO</t>
  </si>
  <si>
    <t>MAYO</t>
  </si>
  <si>
    <t>ABRIL</t>
  </si>
  <si>
    <t>MARZO</t>
  </si>
  <si>
    <t>FEBRERO</t>
  </si>
  <si>
    <t>DESCRIPCIÓN</t>
  </si>
  <si>
    <t>FILA</t>
  </si>
  <si>
    <t>CLIENTES NACIONALES</t>
  </si>
  <si>
    <t>CUENTAS POR COBRAR A SOCIOS</t>
  </si>
  <si>
    <t>CXC SOCIOS - PRESTAMO BANCO DE OCCIDENTE</t>
  </si>
  <si>
    <t xml:space="preserve">CXC SOCIOS - CARTERA COLECTIVA </t>
  </si>
  <si>
    <t>ANTICIPO A PROVEEDORES</t>
  </si>
  <si>
    <t>RETEFUENTE A FAVOR HONORARIO 11%</t>
  </si>
  <si>
    <t>RETEIVA A FAVOR VENTA SERVICIOS 15%</t>
  </si>
  <si>
    <t>RETEICA A FAVOR POR VENTAS 6.6%O CALI</t>
  </si>
  <si>
    <t>RETEICA A FAVOR POR VENTAS 6% YUMBO</t>
  </si>
  <si>
    <t>PRESTAMO VIVIENDA TRABAJADORES</t>
  </si>
  <si>
    <t>PRESTAMOS OTROS CONCEPTOS TRABAJADORES</t>
  </si>
  <si>
    <t>CUENTAS POR COBRAR A TERCEROS</t>
  </si>
  <si>
    <t>MUEBLES Y ENSERES</t>
  </si>
  <si>
    <t>AUTOS, CAMIONETAS Y CAMPEROS</t>
  </si>
  <si>
    <t>DEP. ACUM. MUEBLES Y ENSERES</t>
  </si>
  <si>
    <t>DEP. ACUM. EQUIPO DE TRANSPORTE</t>
  </si>
  <si>
    <t>LICENCIAS DE SOFTWARE</t>
  </si>
  <si>
    <t>AMORTIZACION ACUMULADA</t>
  </si>
  <si>
    <t>HONORARIOS POR PAGAR</t>
  </si>
  <si>
    <t>SERVICIO MANTENIMIENTO POR PAGAR</t>
  </si>
  <si>
    <t>ARRENDAMIENTOS POR PAGAR</t>
  </si>
  <si>
    <t>SERVICIOS PUBLICOS POR PAGAR</t>
  </si>
  <si>
    <t>OTROS GASTOS POR PAGAR</t>
  </si>
  <si>
    <t>RETEFUENTE PRACTICADA SERVICIO 4%</t>
  </si>
  <si>
    <t>RETEFUENTE PRACTICADA ARRENDAMIENTO BIENES RAICES 3.5%</t>
  </si>
  <si>
    <t>AUTORRETENCION DE RENTA 0,8%</t>
  </si>
  <si>
    <t>INDUSTRIA Y COMERCIO 10X1000</t>
  </si>
  <si>
    <t>APORTES A ENTIDADES PROMOTORAS DE SALUD</t>
  </si>
  <si>
    <t xml:space="preserve">APORTES A RIESGOS PROFESIONALES </t>
  </si>
  <si>
    <t xml:space="preserve">APORTES AL ICBF SENA Y CAJA </t>
  </si>
  <si>
    <t>CUENTA POR PAGAR FONDO DE PENSION</t>
  </si>
  <si>
    <t>IMPUESTO A LAS VENTAS GENERADO 19%</t>
  </si>
  <si>
    <t>IVA DESCONTABLE EN COMPRAS 19%</t>
  </si>
  <si>
    <t>IVA DESCONTABLE POR SERVICIOS 19%</t>
  </si>
  <si>
    <t>CESANTIAS POR PAGAR</t>
  </si>
  <si>
    <t>INTERESES CESANTIAS POR PAGAR</t>
  </si>
  <si>
    <t>CAPITAL AUTORIZADO    (CR)</t>
  </si>
  <si>
    <t>CAPITAL POR SUSCRIBIR (DB)</t>
  </si>
  <si>
    <t>UTILIDAD ACUMULADA</t>
  </si>
  <si>
    <t xml:space="preserve">CASINOS Y RESTAURANTES SIN FAACTURA ELECTRONICA </t>
  </si>
  <si>
    <t>Saldo Anterior</t>
  </si>
  <si>
    <t>Movimiento</t>
  </si>
  <si>
    <t>Nuevo Saldo</t>
  </si>
  <si>
    <t>Còdigo</t>
  </si>
  <si>
    <t>Descripciòn</t>
  </si>
  <si>
    <t>Débito</t>
  </si>
  <si>
    <t>Crédito</t>
  </si>
  <si>
    <t>11200501</t>
  </si>
  <si>
    <t>11200502</t>
  </si>
  <si>
    <t>13250501</t>
  </si>
  <si>
    <t>13250502</t>
  </si>
  <si>
    <t>13250503</t>
  </si>
  <si>
    <t>13300501</t>
  </si>
  <si>
    <t>13551504</t>
  </si>
  <si>
    <t>13551702</t>
  </si>
  <si>
    <t>13551801</t>
  </si>
  <si>
    <t>13551810</t>
  </si>
  <si>
    <t>13650501</t>
  </si>
  <si>
    <t>13659501</t>
  </si>
  <si>
    <t>13802001</t>
  </si>
  <si>
    <t>15240501</t>
  </si>
  <si>
    <t>15400501</t>
  </si>
  <si>
    <t>15921501</t>
  </si>
  <si>
    <t>15923501</t>
  </si>
  <si>
    <t>16350101</t>
  </si>
  <si>
    <t>16984001</t>
  </si>
  <si>
    <t>23352501</t>
  </si>
  <si>
    <t>23353501</t>
  </si>
  <si>
    <t>23354001</t>
  </si>
  <si>
    <t>23355001</t>
  </si>
  <si>
    <t>23359501</t>
  </si>
  <si>
    <t>23653002</t>
  </si>
  <si>
    <t>23657504</t>
  </si>
  <si>
    <t>23680110</t>
  </si>
  <si>
    <t>23700501</t>
  </si>
  <si>
    <t>23700601</t>
  </si>
  <si>
    <t>23701001</t>
  </si>
  <si>
    <t>23803001</t>
  </si>
  <si>
    <t>24080119</t>
  </si>
  <si>
    <t>24080719</t>
  </si>
  <si>
    <t>24080749</t>
  </si>
  <si>
    <t>25050101</t>
  </si>
  <si>
    <t>25101001</t>
  </si>
  <si>
    <t>25150101</t>
  </si>
  <si>
    <t>31050501</t>
  </si>
  <si>
    <t>31051001</t>
  </si>
  <si>
    <t>37050101</t>
  </si>
  <si>
    <t>41500501</t>
  </si>
  <si>
    <t>42109501</t>
  </si>
  <si>
    <t>42958101</t>
  </si>
  <si>
    <t>51050601</t>
  </si>
  <si>
    <t>51052701</t>
  </si>
  <si>
    <t>51053001</t>
  </si>
  <si>
    <t>51053301</t>
  </si>
  <si>
    <t>51053601</t>
  </si>
  <si>
    <t>51053901</t>
  </si>
  <si>
    <t>51056301</t>
  </si>
  <si>
    <t>51056302</t>
  </si>
  <si>
    <t>51056601</t>
  </si>
  <si>
    <t>51056801</t>
  </si>
  <si>
    <t>51057001</t>
  </si>
  <si>
    <t>51057201</t>
  </si>
  <si>
    <t>51103501</t>
  </si>
  <si>
    <t>51159501</t>
  </si>
  <si>
    <t>51159508</t>
  </si>
  <si>
    <t>51201001</t>
  </si>
  <si>
    <t>51304001</t>
  </si>
  <si>
    <t>51350501</t>
  </si>
  <si>
    <t>51350502</t>
  </si>
  <si>
    <t>51351501</t>
  </si>
  <si>
    <t>51352501</t>
  </si>
  <si>
    <t>51353001</t>
  </si>
  <si>
    <t>51353505</t>
  </si>
  <si>
    <t>51355001</t>
  </si>
  <si>
    <t>51359501</t>
  </si>
  <si>
    <t>51359505</t>
  </si>
  <si>
    <t>51454001</t>
  </si>
  <si>
    <t>51509501</t>
  </si>
  <si>
    <t>51550501</t>
  </si>
  <si>
    <t>51601501</t>
  </si>
  <si>
    <t>51603501</t>
  </si>
  <si>
    <t>51952502</t>
  </si>
  <si>
    <t>51953001</t>
  </si>
  <si>
    <t>51953501</t>
  </si>
  <si>
    <t>51956001</t>
  </si>
  <si>
    <t>52356001</t>
  </si>
  <si>
    <t>53051501</t>
  </si>
  <si>
    <t>53051502</t>
  </si>
  <si>
    <t>53052030</t>
  </si>
  <si>
    <t>53152001</t>
  </si>
  <si>
    <t>53952501</t>
  </si>
  <si>
    <t>53959501</t>
  </si>
  <si>
    <t/>
  </si>
  <si>
    <t>11050501</t>
  </si>
  <si>
    <t>CAJA GENERAL</t>
  </si>
  <si>
    <t>13559507</t>
  </si>
  <si>
    <t>AUTORETENCION DE RENTA 11%</t>
  </si>
  <si>
    <t>23652508</t>
  </si>
  <si>
    <t>23657505</t>
  </si>
  <si>
    <t>23680166</t>
  </si>
  <si>
    <t>RETENCION INDUCOMERCIO 6.6%O</t>
  </si>
  <si>
    <t>51103001</t>
  </si>
  <si>
    <t>51353501</t>
  </si>
  <si>
    <t>51951001</t>
  </si>
  <si>
    <t>51952501</t>
  </si>
  <si>
    <t>51954001</t>
  </si>
  <si>
    <t>51954501</t>
  </si>
  <si>
    <t>53952001</t>
  </si>
  <si>
    <t>AUTORETENCION DE RENTA 0,8%</t>
  </si>
  <si>
    <t>PAGARE BANCOS NACIONALES L.P</t>
  </si>
  <si>
    <t>RETENCION INDUCOMERCIO 2.2%O</t>
  </si>
  <si>
    <t>ELEMENTOS DE ASEO Y CAFETERIA</t>
  </si>
  <si>
    <t>13559506</t>
  </si>
  <si>
    <t>13701001</t>
  </si>
  <si>
    <t>PRESTAMO A PARTICULARES GARANTIA PERSONAL</t>
  </si>
  <si>
    <t>21051002</t>
  </si>
  <si>
    <t>23672001</t>
  </si>
  <si>
    <t>IMPOVENTAS PAGOS AL EXTERIOR</t>
  </si>
  <si>
    <t>23680122</t>
  </si>
  <si>
    <t>24080760</t>
  </si>
  <si>
    <t>IVA DESCONTABLE PAGO AL EXTERIOR</t>
  </si>
  <si>
    <t>41500502</t>
  </si>
  <si>
    <t>51055401</t>
  </si>
  <si>
    <t>51058401</t>
  </si>
  <si>
    <t>51102501</t>
  </si>
  <si>
    <t>51359595</t>
  </si>
  <si>
    <t>51401001</t>
  </si>
  <si>
    <t>51501001</t>
  </si>
  <si>
    <t>51952001</t>
  </si>
  <si>
    <t>51953003</t>
  </si>
  <si>
    <t>TELEFONO, CELULARES, OTROS DISPOSITIVOS</t>
  </si>
  <si>
    <t xml:space="preserve">COMBUSTIBLES Y LIBRICANTE - SIN FACTURA ELECTRONICA </t>
  </si>
  <si>
    <t>53052001</t>
  </si>
  <si>
    <t>72053001</t>
  </si>
  <si>
    <t>72053601</t>
  </si>
  <si>
    <t>72053901</t>
  </si>
  <si>
    <t>72056801</t>
  </si>
  <si>
    <t>72057001</t>
  </si>
  <si>
    <t>72057201</t>
  </si>
  <si>
    <t>73053301</t>
  </si>
  <si>
    <t>13551812</t>
  </si>
  <si>
    <t>RETEICA A FAVOR POR VENTAS 6,6% YUMBO</t>
  </si>
  <si>
    <t>23357601</t>
  </si>
  <si>
    <t>CASINOS Y RESTAURANTE POR PAGAR</t>
  </si>
  <si>
    <t>GASTO VIAJE - PASAJE AEREO</t>
  </si>
  <si>
    <t>23357701</t>
  </si>
  <si>
    <t>COMBUSTIBLE Y LUBRICANTE POR PAGAR</t>
  </si>
  <si>
    <t>51159502</t>
  </si>
  <si>
    <t>23652510</t>
  </si>
  <si>
    <t>51453001</t>
  </si>
  <si>
    <t>72050601</t>
  </si>
  <si>
    <t>72052701</t>
  </si>
  <si>
    <t>72952001</t>
  </si>
  <si>
    <t>11200503</t>
  </si>
  <si>
    <t>PRODUCTOS VIRTUALES</t>
  </si>
  <si>
    <t>EQUIPO DE COMPUTACION Y COMUNICACION</t>
  </si>
  <si>
    <t xml:space="preserve">GASTOS DE SOCIOS </t>
  </si>
  <si>
    <t>53050501</t>
  </si>
  <si>
    <t>GASTOS BANCARIOS</t>
  </si>
  <si>
    <t>PERDIDA EN VENTA PROPIEDAD, PLANTA Y EQUIPO</t>
  </si>
  <si>
    <t>13551508</t>
  </si>
  <si>
    <t>RETEFUENTE A FAVOR POR VENTA 1%</t>
  </si>
  <si>
    <t>13551814</t>
  </si>
  <si>
    <t>RETEICA A FAVOR POR VENTAS 10% YUMBO</t>
  </si>
  <si>
    <t>INGRESO VENTA EQUIPO DE TRANSPORTE</t>
  </si>
  <si>
    <t>ARRENDAMIENTO OTROS CONCEPTOS</t>
  </si>
  <si>
    <t>PROVISION DEUDORES</t>
  </si>
  <si>
    <t>Gastos sin factura electronica</t>
  </si>
  <si>
    <t>AJUSTE SALDO DE CARTERA CLIENTE</t>
  </si>
  <si>
    <t>ENERO</t>
  </si>
  <si>
    <t>13552005</t>
  </si>
  <si>
    <t>REGIMEN SIMPLE SALDO A FAVOR</t>
  </si>
  <si>
    <t>AUTORETENCION VENTAS RST 11%</t>
  </si>
  <si>
    <t>23670301</t>
  </si>
  <si>
    <t>IMPOVENTAS RETENIDO REGIMEN SIMPLE 15%</t>
  </si>
  <si>
    <t>24040501</t>
  </si>
  <si>
    <t>IMPORENTA POR PAGAR</t>
  </si>
  <si>
    <t>51953005</t>
  </si>
  <si>
    <t>CAMARA FOTOGRAFICAS Y BATERIA</t>
  </si>
  <si>
    <t>IMPUESTO DE RENTA Y COMPLEMENTARIOS</t>
  </si>
  <si>
    <t xml:space="preserve"> </t>
  </si>
  <si>
    <t>26100501</t>
  </si>
  <si>
    <t>PROVISION PARA CESANTIAS</t>
  </si>
  <si>
    <t>26101001</t>
  </si>
  <si>
    <t>PROVISION INTERESES CESANTIAS</t>
  </si>
  <si>
    <t>26101501</t>
  </si>
  <si>
    <t>PROVISION PARA VACACIONES</t>
  </si>
  <si>
    <t>26102001</t>
  </si>
  <si>
    <t>PROVISION PARA PRIMA SERVICIOS</t>
  </si>
  <si>
    <t>13551509</t>
  </si>
  <si>
    <t>RETEFUENTE A FAVOR POR SERVICIO 4%</t>
  </si>
  <si>
    <t>DESCUENTOS COMERCIALES CONDICIONADOS</t>
  </si>
  <si>
    <t>AJUSTE DE CUENTA NO DEDUCIBLE</t>
  </si>
  <si>
    <t>23351501</t>
  </si>
  <si>
    <t>SUSCRIPCIONES POR PAGAR</t>
  </si>
  <si>
    <t>23357501</t>
  </si>
  <si>
    <t>PUBLICIDAD POR PAGAR</t>
  </si>
  <si>
    <t>23654003</t>
  </si>
  <si>
    <t>RETEFUENTE POR COMPRAS 2.5%</t>
  </si>
  <si>
    <t>23680177</t>
  </si>
  <si>
    <t>RETENCION INDUCOMERCIO 7.7%O</t>
  </si>
  <si>
    <t>52355001</t>
  </si>
  <si>
    <t>SERVICIO TRANSPORTES, FLETES Y ACARREOS</t>
  </si>
  <si>
    <t>BANCOLOMBIA CTA AHORROS 3666</t>
  </si>
  <si>
    <t>BANCO DE OCCIDENTE CTA CORRIENTE 082-82559-7</t>
  </si>
  <si>
    <t>BBVA COLOMBIA CTA CORRIENTE 35524</t>
  </si>
  <si>
    <t>13653001</t>
  </si>
  <si>
    <t>RESPONSABILIDADES POR COBRAR TRABAJADORES</t>
  </si>
  <si>
    <t>18050501</t>
  </si>
  <si>
    <t>ANTICIPOS DE SERVICIOS</t>
  </si>
  <si>
    <t>24089501</t>
  </si>
  <si>
    <t>IMPUESTO A LAS VENTAS POR PAGAR</t>
  </si>
  <si>
    <t>26151001</t>
  </si>
  <si>
    <t>PROVISION IMPUESTO INDUSTRIA Y COMERCIO</t>
  </si>
  <si>
    <t>26151002</t>
  </si>
  <si>
    <t>PROVISION IMPUESTO INDUSTRIA Y COMERCIO YUMBO</t>
  </si>
  <si>
    <t>36050101</t>
  </si>
  <si>
    <t>UTILIDAD DEL EJERCICIO</t>
  </si>
  <si>
    <t>RETEFUENTE PRACTICADA SERVICIO 6%</t>
  </si>
  <si>
    <t>51055112</t>
  </si>
  <si>
    <t>ELEMENTOS DE SEGURIDAD</t>
  </si>
  <si>
    <t xml:space="preserve">salarios </t>
  </si>
  <si>
    <t>aumentos</t>
  </si>
  <si>
    <t>extras</t>
  </si>
  <si>
    <t>aux trans</t>
  </si>
  <si>
    <t>cesantias</t>
  </si>
  <si>
    <t>mes cesantias</t>
  </si>
  <si>
    <t>primas</t>
  </si>
  <si>
    <t>mes primas</t>
  </si>
  <si>
    <t>obsequio dic</t>
  </si>
  <si>
    <t>aleja</t>
  </si>
  <si>
    <t>abril</t>
  </si>
  <si>
    <t>adriana</t>
  </si>
  <si>
    <t>marzo</t>
  </si>
  <si>
    <t xml:space="preserve">malcolm </t>
  </si>
  <si>
    <t xml:space="preserve">paula </t>
  </si>
  <si>
    <t>febrero</t>
  </si>
  <si>
    <t xml:space="preserve">raul </t>
  </si>
  <si>
    <t xml:space="preserve">vivian </t>
  </si>
  <si>
    <t>mailchimp</t>
  </si>
  <si>
    <t>dominio</t>
  </si>
  <si>
    <t xml:space="preserve">año </t>
  </si>
  <si>
    <t xml:space="preserve">servicios </t>
  </si>
  <si>
    <t xml:space="preserve">claro </t>
  </si>
  <si>
    <t>ximena</t>
  </si>
  <si>
    <t xml:space="preserve">amaras redes </t>
  </si>
  <si>
    <t>ene-feb-mar</t>
  </si>
  <si>
    <t xml:space="preserve">deuda vivian </t>
  </si>
  <si>
    <t>arriendo</t>
  </si>
  <si>
    <t>yolanda</t>
  </si>
  <si>
    <t>vacaciones</t>
  </si>
  <si>
    <t>mes vacaciones</t>
  </si>
  <si>
    <t>atencion a empleados</t>
  </si>
  <si>
    <t>PRESUPUESTO MES</t>
  </si>
  <si>
    <t>ACUMULADO EJECUCIÓN</t>
  </si>
  <si>
    <t>18050506</t>
  </si>
  <si>
    <t>36050102</t>
  </si>
  <si>
    <t>UTILIDAD NO GRAVADA AÑO 2017</t>
  </si>
  <si>
    <t>36050103</t>
  </si>
  <si>
    <t>UTILIDAD GRAVADA AÑO 2017</t>
  </si>
  <si>
    <t>36050104</t>
  </si>
  <si>
    <t>UTILIDAD NO GRAVADA AÑO 2018</t>
  </si>
  <si>
    <t>36050105</t>
  </si>
  <si>
    <t>UTILIDAD NO GRAVADA AÑO 2019</t>
  </si>
  <si>
    <t>36050106</t>
  </si>
  <si>
    <t>UTILIDAD NO GRAVADA AÑO 2020</t>
  </si>
  <si>
    <t>36050108</t>
  </si>
  <si>
    <t>UTILIDAD NO GRAVADA AÑO 2021</t>
  </si>
  <si>
    <t>51959597</t>
  </si>
  <si>
    <t>GASTOS NO DEDUCIBLES</t>
  </si>
  <si>
    <t>53151501</t>
  </si>
  <si>
    <t>15281001</t>
  </si>
  <si>
    <t>EQUIPO DE TELECOMUNICACION</t>
  </si>
  <si>
    <t>23652505</t>
  </si>
  <si>
    <t>RETEFUENTE ASUMIDA SERVICIO 4%</t>
  </si>
  <si>
    <t>41500503</t>
  </si>
  <si>
    <t>41500504</t>
  </si>
  <si>
    <t>42955701</t>
  </si>
  <si>
    <t>SUBSIDIOS ESTATALES</t>
  </si>
  <si>
    <t>51202502</t>
  </si>
  <si>
    <t>51401501</t>
  </si>
  <si>
    <t>51551501</t>
  </si>
  <si>
    <t>51956501</t>
  </si>
  <si>
    <t>11051002</t>
  </si>
  <si>
    <t>CAJA MENOR</t>
  </si>
  <si>
    <t>13551816</t>
  </si>
  <si>
    <t>RETEICA A FAVOR POR VENTAS 10% CALI</t>
  </si>
  <si>
    <t>23350501</t>
  </si>
  <si>
    <t>GASTOS FINANCIEROS POR PAGAR</t>
  </si>
  <si>
    <t>23353001</t>
  </si>
  <si>
    <t>SERVICIOS TECNICOS POR PAGAR</t>
  </si>
  <si>
    <t>23355501</t>
  </si>
  <si>
    <t>SEGUROS POR PAGAR</t>
  </si>
  <si>
    <t>23600501</t>
  </si>
  <si>
    <t>DIVIDENDOS POR PAGAR</t>
  </si>
  <si>
    <t>41500505</t>
  </si>
  <si>
    <t>51301001</t>
  </si>
  <si>
    <t>SEGURO DE CUMPLIMIENTO</t>
  </si>
  <si>
    <t>51350503</t>
  </si>
  <si>
    <t>SERVICIOS DE ASEO - EMCALI</t>
  </si>
  <si>
    <t>51352001</t>
  </si>
  <si>
    <t>51500501</t>
  </si>
  <si>
    <t>51500502</t>
  </si>
  <si>
    <t>ADECUACIONES MOBILIARIA</t>
  </si>
  <si>
    <t>51550505</t>
  </si>
  <si>
    <t>51602005</t>
  </si>
  <si>
    <t>52054801</t>
  </si>
  <si>
    <t>53152005</t>
  </si>
  <si>
    <t xml:space="preserve">IMPUESTOS ASUMIDOS RETEFUENTE </t>
  </si>
  <si>
    <t>53152006</t>
  </si>
  <si>
    <t>IMPUESTOS ASUMIDOS RETEICA</t>
  </si>
  <si>
    <t>24081019</t>
  </si>
  <si>
    <t>IVA RECUPERADO DEVOLUCION DE VENTAS 19%</t>
  </si>
  <si>
    <t>25200101</t>
  </si>
  <si>
    <t>PRIMA DE SERVICIOS POR PAGAR</t>
  </si>
  <si>
    <t>41750595</t>
  </si>
  <si>
    <t>51154001</t>
  </si>
  <si>
    <t>IMPUESTO DE VEHICULOS</t>
  </si>
  <si>
    <t>51159506</t>
  </si>
  <si>
    <t>51452501</t>
  </si>
  <si>
    <t>RETEFUENTE PRACTICADA SERVICIOS EN EL EXTERIOR 15%</t>
  </si>
  <si>
    <t>RETEFUENTE PRACTICADA SERVICIOS EN EL EXTERIOR 20%</t>
  </si>
  <si>
    <t>28050501</t>
  </si>
  <si>
    <t>ANTICIPO RECIBIDO DE CLIENTES</t>
  </si>
  <si>
    <t>42100501</t>
  </si>
  <si>
    <t>INTERESES RECIBIDOS</t>
  </si>
  <si>
    <t>51953004</t>
  </si>
  <si>
    <t>RETEFUENTE PRACTICADA SERVICIOS 3.5%</t>
  </si>
  <si>
    <t>26150501</t>
  </si>
  <si>
    <t>PROVISION IMPORENTA Y SOBRETASA</t>
  </si>
  <si>
    <t>675.998.865.82</t>
  </si>
  <si>
    <t>13552001</t>
  </si>
  <si>
    <t>IMPORENTA SALDO A FAVOR</t>
  </si>
  <si>
    <t>42503504</t>
  </si>
  <si>
    <t>RECUPERACION DE PROVICIONES RENTA</t>
  </si>
  <si>
    <t>15922005</t>
  </si>
  <si>
    <t>DEP. ACUM. EQUIPO TELECOMUNICACIONES</t>
  </si>
  <si>
    <t>23359505</t>
  </si>
  <si>
    <t>CAJA MENOR POR PAGAR</t>
  </si>
  <si>
    <t>22050101</t>
  </si>
  <si>
    <t>PROVEEDORES NACIONALES</t>
  </si>
  <si>
    <t>51055101</t>
  </si>
  <si>
    <t>DOTACION Y SUMISTRO TRABAJADOR</t>
  </si>
  <si>
    <t>51559501</t>
  </si>
  <si>
    <t>GASTO VIAJE - SERVICIO DE TAXIS</t>
  </si>
  <si>
    <t>911.577.353.34</t>
  </si>
  <si>
    <t>1.144.857.635.60</t>
  </si>
  <si>
    <t>1.519.063.888.41</t>
  </si>
  <si>
    <t>1.908.350.505.93</t>
  </si>
  <si>
    <t>2.170.434.329.50</t>
  </si>
  <si>
    <t>2.498.241.446.37</t>
  </si>
  <si>
    <t>2.827.656.544.18</t>
  </si>
  <si>
    <t>Renta a Diciembre Real</t>
  </si>
  <si>
    <t>Renta 2022</t>
  </si>
  <si>
    <t xml:space="preserve">Impuestos asumidos </t>
  </si>
  <si>
    <t>TARIFA IMPUESTO RENTA</t>
  </si>
  <si>
    <t>Impuesto sobre la renta gravable 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</si>
</sst>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* #,##0_);_(* \(#,##0\);_(* &quot;-&quot;??_);_(@_)"/>
    <numFmt numFmtId="168" formatCode="_(* #,##0_);_(* \(#,##0\);_(* &quot;-&quot;_);_(@_)"/>
    <numFmt numFmtId="169" formatCode="_-&quot;$&quot;\ * #,##0_-;\-&quot;$&quot;\ * #,##0_-;_-&quot;$&quot;\ * &quot;-&quot;??_-;_-@_-"/>
    <numFmt numFmtId="170" formatCode="_(* #,##0.000_);_(* \(#,##0.000\);_(* &quot;-&quot;_);_(@_)"/>
    <numFmt numFmtId="171" formatCode="_-* #,##0_-;\-* #,##0_-;_-* &quot;-&quot;??_-;_-@_-"/>
    <numFmt numFmtId="172" formatCode="_-[$$-240A]\ * #,##0_-;\-[$$-240A]\ * #,##0_-;_-[$$-240A]\ * &quot;-&quot;_-;_-@_-"/>
    <numFmt numFmtId="173" formatCode="#,##0_ ;\-#,##0\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i/>
      <sz val="8"/>
      <name val="Arial"/>
      <family val="2"/>
    </font>
    <font>
      <sz val="10"/>
      <name val="Geneva"/>
    </font>
    <font>
      <sz val="8"/>
      <name val="MS Sans Serif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1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1">
    <xf numFmtId="0" fontId="0" fillId="0" borderId="0" xfId="0"/>
    <xf numFmtId="0" fontId="2" fillId="0" borderId="0" xfId="0" applyFont="1"/>
    <xf numFmtId="0" fontId="0" fillId="4" borderId="0" xfId="0" applyFill="1"/>
    <xf numFmtId="41" fontId="0" fillId="0" borderId="0" xfId="3" applyFont="1"/>
    <xf numFmtId="41" fontId="0" fillId="4" borderId="0" xfId="3" applyFont="1" applyFill="1"/>
    <xf numFmtId="41" fontId="2" fillId="4" borderId="0" xfId="3" applyFont="1" applyFill="1"/>
    <xf numFmtId="0" fontId="2" fillId="4" borderId="0" xfId="0" applyFont="1" applyFill="1"/>
    <xf numFmtId="41" fontId="0" fillId="0" borderId="0" xfId="0" applyNumberFormat="1"/>
    <xf numFmtId="0" fontId="7" fillId="4" borderId="0" xfId="4" applyFill="1"/>
    <xf numFmtId="0" fontId="9" fillId="4" borderId="0" xfId="4" applyFont="1" applyFill="1" applyAlignment="1">
      <alignment horizontal="center"/>
    </xf>
    <xf numFmtId="0" fontId="7" fillId="4" borderId="7" xfId="4" applyFill="1" applyBorder="1"/>
    <xf numFmtId="0" fontId="7" fillId="4" borderId="8" xfId="4" applyFill="1" applyBorder="1"/>
    <xf numFmtId="0" fontId="7" fillId="4" borderId="9" xfId="4" applyFill="1" applyBorder="1"/>
    <xf numFmtId="0" fontId="7" fillId="4" borderId="10" xfId="4" applyFill="1" applyBorder="1"/>
    <xf numFmtId="0" fontId="7" fillId="4" borderId="11" xfId="4" applyFill="1" applyBorder="1"/>
    <xf numFmtId="0" fontId="8" fillId="4" borderId="12" xfId="4" applyFont="1" applyFill="1" applyBorder="1"/>
    <xf numFmtId="0" fontId="7" fillId="4" borderId="9" xfId="4" quotePrefix="1" applyFill="1" applyBorder="1"/>
    <xf numFmtId="0" fontId="8" fillId="4" borderId="9" xfId="4" applyFont="1" applyFill="1" applyBorder="1"/>
    <xf numFmtId="0" fontId="8" fillId="4" borderId="10" xfId="4" applyFont="1" applyFill="1" applyBorder="1"/>
    <xf numFmtId="0" fontId="7" fillId="4" borderId="12" xfId="4" applyFill="1" applyBorder="1"/>
    <xf numFmtId="0" fontId="8" fillId="2" borderId="10" xfId="4" applyFont="1" applyFill="1" applyBorder="1"/>
    <xf numFmtId="0" fontId="13" fillId="4" borderId="0" xfId="4" applyFont="1" applyFill="1"/>
    <xf numFmtId="0" fontId="8" fillId="4" borderId="0" xfId="4" applyFont="1" applyFill="1"/>
    <xf numFmtId="0" fontId="8" fillId="4" borderId="5" xfId="4" applyFont="1" applyFill="1" applyBorder="1"/>
    <xf numFmtId="0" fontId="8" fillId="4" borderId="6" xfId="4" applyFont="1" applyFill="1" applyBorder="1"/>
    <xf numFmtId="3" fontId="7" fillId="4" borderId="0" xfId="4" applyNumberFormat="1" applyFill="1"/>
    <xf numFmtId="0" fontId="7" fillId="4" borderId="0" xfId="4" applyFill="1" applyAlignment="1">
      <alignment wrapText="1"/>
    </xf>
    <xf numFmtId="0" fontId="1" fillId="0" borderId="0" xfId="10"/>
    <xf numFmtId="41" fontId="1" fillId="0" borderId="0" xfId="10" applyNumberFormat="1"/>
    <xf numFmtId="41" fontId="7" fillId="4" borderId="0" xfId="3" applyFont="1" applyFill="1"/>
    <xf numFmtId="0" fontId="7" fillId="0" borderId="0" xfId="19"/>
    <xf numFmtId="3" fontId="0" fillId="0" borderId="0" xfId="0" applyNumberFormat="1"/>
    <xf numFmtId="168" fontId="7" fillId="4" borderId="0" xfId="4" applyNumberFormat="1" applyFill="1"/>
    <xf numFmtId="3" fontId="7" fillId="0" borderId="0" xfId="19" applyNumberFormat="1"/>
    <xf numFmtId="167" fontId="7" fillId="4" borderId="0" xfId="4" applyNumberFormat="1" applyFill="1"/>
    <xf numFmtId="9" fontId="7" fillId="4" borderId="0" xfId="4" applyNumberFormat="1" applyFill="1"/>
    <xf numFmtId="41" fontId="7" fillId="4" borderId="0" xfId="4" applyNumberFormat="1" applyFill="1"/>
    <xf numFmtId="10" fontId="7" fillId="4" borderId="0" xfId="4" applyNumberFormat="1" applyFill="1"/>
    <xf numFmtId="170" fontId="7" fillId="4" borderId="0" xfId="4" applyNumberFormat="1" applyFill="1"/>
    <xf numFmtId="3" fontId="10" fillId="4" borderId="1" xfId="4" applyNumberFormat="1" applyFont="1" applyFill="1" applyBorder="1"/>
    <xf numFmtId="168" fontId="10" fillId="4" borderId="1" xfId="4" applyNumberFormat="1" applyFont="1" applyFill="1" applyBorder="1"/>
    <xf numFmtId="9" fontId="10" fillId="4" borderId="1" xfId="1" applyFont="1" applyFill="1" applyBorder="1"/>
    <xf numFmtId="3" fontId="11" fillId="4" borderId="1" xfId="5" applyNumberFormat="1" applyFont="1" applyFill="1" applyBorder="1"/>
    <xf numFmtId="167" fontId="10" fillId="2" borderId="1" xfId="5" applyNumberFormat="1" applyFont="1" applyFill="1" applyBorder="1"/>
    <xf numFmtId="167" fontId="11" fillId="4" borderId="1" xfId="5" applyNumberFormat="1" applyFont="1" applyFill="1" applyBorder="1"/>
    <xf numFmtId="167" fontId="10" fillId="4" borderId="1" xfId="5" applyNumberFormat="1" applyFont="1" applyFill="1" applyBorder="1"/>
    <xf numFmtId="167" fontId="12" fillId="4" borderId="1" xfId="5" applyNumberFormat="1" applyFont="1" applyFill="1" applyBorder="1"/>
    <xf numFmtId="167" fontId="11" fillId="2" borderId="1" xfId="5" applyNumberFormat="1" applyFont="1" applyFill="1" applyBorder="1"/>
    <xf numFmtId="9" fontId="11" fillId="2" borderId="1" xfId="1" applyFont="1" applyFill="1" applyBorder="1"/>
    <xf numFmtId="10" fontId="11" fillId="4" borderId="1" xfId="9" applyNumberFormat="1" applyFont="1" applyFill="1" applyBorder="1" applyAlignment="1">
      <alignment wrapText="1"/>
    </xf>
    <xf numFmtId="10" fontId="11" fillId="4" borderId="1" xfId="9" applyNumberFormat="1" applyFont="1" applyFill="1" applyBorder="1"/>
    <xf numFmtId="0" fontId="15" fillId="8" borderId="16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left"/>
    </xf>
    <xf numFmtId="171" fontId="15" fillId="8" borderId="16" xfId="20" applyNumberFormat="1" applyFont="1" applyFill="1" applyBorder="1" applyAlignment="1">
      <alignment horizontal="right"/>
    </xf>
    <xf numFmtId="171" fontId="0" fillId="0" borderId="0" xfId="20" applyNumberFormat="1" applyFont="1"/>
    <xf numFmtId="41" fontId="0" fillId="0" borderId="0" xfId="3" applyFont="1" applyAlignment="1">
      <alignment vertical="center"/>
    </xf>
    <xf numFmtId="0" fontId="0" fillId="0" borderId="0" xfId="0" applyAlignment="1">
      <alignment vertical="center"/>
    </xf>
    <xf numFmtId="41" fontId="4" fillId="10" borderId="1" xfId="3" applyFont="1" applyFill="1" applyBorder="1" applyAlignment="1">
      <alignment horizontal="center"/>
    </xf>
    <xf numFmtId="41" fontId="2" fillId="0" borderId="0" xfId="3" applyFont="1"/>
    <xf numFmtId="41" fontId="4" fillId="0" borderId="0" xfId="3" applyFont="1"/>
    <xf numFmtId="41" fontId="5" fillId="0" borderId="0" xfId="3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1" fontId="15" fillId="8" borderId="16" xfId="20" applyNumberFormat="1" applyFont="1" applyFill="1" applyBorder="1" applyAlignment="1">
      <alignment horizontal="center" vertical="center"/>
    </xf>
    <xf numFmtId="41" fontId="2" fillId="0" borderId="0" xfId="3" applyFont="1" applyFill="1"/>
    <xf numFmtId="41" fontId="17" fillId="0" borderId="0" xfId="3" applyFont="1" applyAlignment="1">
      <alignment vertical="center"/>
    </xf>
    <xf numFmtId="0" fontId="17" fillId="0" borderId="0" xfId="0" applyFont="1" applyAlignment="1">
      <alignment vertical="center"/>
    </xf>
    <xf numFmtId="41" fontId="0" fillId="0" borderId="0" xfId="3" applyFont="1" applyFill="1"/>
    <xf numFmtId="41" fontId="5" fillId="0" borderId="0" xfId="3" applyFont="1" applyFill="1" applyBorder="1" applyAlignment="1">
      <alignment horizontal="center"/>
    </xf>
    <xf numFmtId="172" fontId="5" fillId="0" borderId="0" xfId="3" applyNumberFormat="1" applyFont="1" applyFill="1" applyBorder="1" applyAlignment="1">
      <alignment horizontal="center"/>
    </xf>
    <xf numFmtId="172" fontId="5" fillId="0" borderId="0" xfId="0" applyNumberFormat="1" applyFont="1"/>
    <xf numFmtId="164" fontId="5" fillId="0" borderId="0" xfId="0" applyNumberFormat="1" applyFont="1"/>
    <xf numFmtId="9" fontId="5" fillId="0" borderId="0" xfId="1" applyFont="1" applyFill="1" applyBorder="1"/>
    <xf numFmtId="41" fontId="2" fillId="0" borderId="0" xfId="3" applyFont="1" applyFill="1" applyBorder="1" applyAlignment="1">
      <alignment horizontal="center" vertical="center" wrapText="1"/>
    </xf>
    <xf numFmtId="41" fontId="2" fillId="0" borderId="0" xfId="3" applyFont="1" applyFill="1" applyBorder="1"/>
    <xf numFmtId="0" fontId="5" fillId="0" borderId="0" xfId="0" applyFont="1" applyAlignment="1">
      <alignment horizontal="center" vertical="center" wrapText="1"/>
    </xf>
    <xf numFmtId="41" fontId="4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0" xfId="3" applyFont="1" applyFill="1" applyBorder="1" applyAlignment="1">
      <alignment vertical="center"/>
    </xf>
    <xf numFmtId="172" fontId="16" fillId="0" borderId="0" xfId="18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1" fontId="0" fillId="0" borderId="0" xfId="3" applyFont="1" applyFill="1" applyBorder="1"/>
    <xf numFmtId="41" fontId="5" fillId="0" borderId="29" xfId="3" applyFont="1" applyFill="1" applyBorder="1" applyAlignment="1">
      <alignment horizontal="center"/>
    </xf>
    <xf numFmtId="164" fontId="5" fillId="0" borderId="33" xfId="0" applyNumberFormat="1" applyFont="1" applyBorder="1"/>
    <xf numFmtId="41" fontId="5" fillId="0" borderId="33" xfId="3" applyFont="1" applyFill="1" applyBorder="1" applyAlignment="1">
      <alignment horizontal="center"/>
    </xf>
    <xf numFmtId="41" fontId="5" fillId="0" borderId="34" xfId="3" applyFont="1" applyFill="1" applyBorder="1" applyAlignment="1">
      <alignment horizontal="center"/>
    </xf>
    <xf numFmtId="0" fontId="6" fillId="0" borderId="0" xfId="0" applyFont="1"/>
    <xf numFmtId="171" fontId="4" fillId="3" borderId="1" xfId="20" applyNumberFormat="1" applyFont="1" applyFill="1" applyBorder="1" applyAlignment="1">
      <alignment horizontal="center"/>
    </xf>
    <xf numFmtId="41" fontId="4" fillId="3" borderId="1" xfId="0" applyNumberFormat="1" applyFont="1" applyFill="1" applyBorder="1" applyAlignment="1">
      <alignment horizontal="center"/>
    </xf>
    <xf numFmtId="41" fontId="4" fillId="3" borderId="1" xfId="3" applyFont="1" applyFill="1" applyBorder="1" applyAlignment="1">
      <alignment horizontal="center"/>
    </xf>
    <xf numFmtId="164" fontId="5" fillId="0" borderId="29" xfId="0" applyNumberFormat="1" applyFont="1" applyBorder="1"/>
    <xf numFmtId="164" fontId="5" fillId="0" borderId="34" xfId="0" applyNumberFormat="1" applyFont="1" applyBorder="1"/>
    <xf numFmtId="172" fontId="5" fillId="13" borderId="26" xfId="0" applyNumberFormat="1" applyFont="1" applyFill="1" applyBorder="1"/>
    <xf numFmtId="171" fontId="4" fillId="10" borderId="1" xfId="20" applyNumberFormat="1" applyFont="1" applyFill="1" applyBorder="1" applyAlignment="1">
      <alignment horizontal="right"/>
    </xf>
    <xf numFmtId="41" fontId="4" fillId="10" borderId="1" xfId="0" applyNumberFormat="1" applyFont="1" applyFill="1" applyBorder="1"/>
    <xf numFmtId="9" fontId="5" fillId="0" borderId="29" xfId="1" applyFont="1" applyFill="1" applyBorder="1"/>
    <xf numFmtId="164" fontId="4" fillId="0" borderId="0" xfId="0" applyNumberFormat="1" applyFont="1"/>
    <xf numFmtId="41" fontId="4" fillId="0" borderId="0" xfId="3" applyFont="1" applyFill="1" applyBorder="1" applyAlignment="1">
      <alignment horizontal="center"/>
    </xf>
    <xf numFmtId="41" fontId="4" fillId="0" borderId="0" xfId="3" applyFont="1" applyFill="1" applyBorder="1"/>
    <xf numFmtId="0" fontId="5" fillId="0" borderId="0" xfId="0" applyFont="1"/>
    <xf numFmtId="41" fontId="4" fillId="10" borderId="1" xfId="20" applyNumberFormat="1" applyFont="1" applyFill="1" applyBorder="1" applyAlignment="1">
      <alignment horizontal="right"/>
    </xf>
    <xf numFmtId="41" fontId="5" fillId="0" borderId="0" xfId="0" applyNumberFormat="1" applyFont="1" applyAlignment="1">
      <alignment horizontal="center" vertical="center"/>
    </xf>
    <xf numFmtId="164" fontId="5" fillId="9" borderId="1" xfId="1" applyNumberFormat="1" applyFont="1" applyFill="1" applyBorder="1"/>
    <xf numFmtId="164" fontId="16" fillId="12" borderId="32" xfId="0" applyNumberFormat="1" applyFont="1" applyFill="1" applyBorder="1" applyAlignment="1">
      <alignment vertical="center"/>
    </xf>
    <xf numFmtId="164" fontId="5" fillId="9" borderId="27" xfId="0" applyNumberFormat="1" applyFont="1" applyFill="1" applyBorder="1"/>
    <xf numFmtId="164" fontId="5" fillId="14" borderId="27" xfId="0" applyNumberFormat="1" applyFont="1" applyFill="1" applyBorder="1"/>
    <xf numFmtId="164" fontId="5" fillId="14" borderId="32" xfId="0" applyNumberFormat="1" applyFont="1" applyFill="1" applyBorder="1"/>
    <xf numFmtId="164" fontId="5" fillId="14" borderId="37" xfId="0" applyNumberFormat="1" applyFont="1" applyFill="1" applyBorder="1"/>
    <xf numFmtId="164" fontId="5" fillId="14" borderId="39" xfId="0" applyNumberFormat="1" applyFont="1" applyFill="1" applyBorder="1"/>
    <xf numFmtId="41" fontId="5" fillId="14" borderId="30" xfId="3" applyFont="1" applyFill="1" applyBorder="1"/>
    <xf numFmtId="41" fontId="5" fillId="14" borderId="31" xfId="3" applyFont="1" applyFill="1" applyBorder="1"/>
    <xf numFmtId="41" fontId="5" fillId="14" borderId="32" xfId="3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41" fontId="2" fillId="11" borderId="24" xfId="3" applyFont="1" applyFill="1" applyBorder="1" applyAlignment="1">
      <alignment horizontal="center" vertical="center" wrapText="1"/>
    </xf>
    <xf numFmtId="41" fontId="2" fillId="11" borderId="25" xfId="3" applyFont="1" applyFill="1" applyBorder="1" applyAlignment="1">
      <alignment horizontal="center" vertical="center" wrapText="1"/>
    </xf>
    <xf numFmtId="171" fontId="7" fillId="0" borderId="0" xfId="20" applyNumberFormat="1" applyFont="1"/>
    <xf numFmtId="171" fontId="7" fillId="2" borderId="0" xfId="20" applyNumberFormat="1" applyFont="1" applyFill="1"/>
    <xf numFmtId="171" fontId="7" fillId="6" borderId="0" xfId="20" applyNumberFormat="1" applyFont="1" applyFill="1"/>
    <xf numFmtId="171" fontId="4" fillId="0" borderId="0" xfId="20" applyNumberFormat="1" applyFont="1" applyFill="1" applyBorder="1" applyAlignment="1">
      <alignment horizontal="right"/>
    </xf>
    <xf numFmtId="41" fontId="5" fillId="14" borderId="37" xfId="3" applyFont="1" applyFill="1" applyBorder="1"/>
    <xf numFmtId="0" fontId="5" fillId="14" borderId="25" xfId="1" applyNumberFormat="1" applyFont="1" applyFill="1" applyBorder="1"/>
    <xf numFmtId="41" fontId="4" fillId="10" borderId="1" xfId="0" applyNumberFormat="1" applyFont="1" applyFill="1" applyBorder="1" applyAlignment="1">
      <alignment horizontal="center"/>
    </xf>
    <xf numFmtId="173" fontId="16" fillId="12" borderId="15" xfId="0" applyNumberFormat="1" applyFont="1" applyFill="1" applyBorder="1" applyAlignment="1">
      <alignment vertical="center"/>
    </xf>
    <xf numFmtId="173" fontId="16" fillId="12" borderId="27" xfId="0" applyNumberFormat="1" applyFont="1" applyFill="1" applyBorder="1" applyAlignment="1">
      <alignment vertical="center"/>
    </xf>
    <xf numFmtId="173" fontId="5" fillId="9" borderId="1" xfId="0" applyNumberFormat="1" applyFont="1" applyFill="1" applyBorder="1"/>
    <xf numFmtId="173" fontId="5" fillId="9" borderId="22" xfId="0" applyNumberFormat="1" applyFont="1" applyFill="1" applyBorder="1"/>
    <xf numFmtId="173" fontId="5" fillId="9" borderId="24" xfId="0" applyNumberFormat="1" applyFont="1" applyFill="1" applyBorder="1"/>
    <xf numFmtId="173" fontId="5" fillId="9" borderId="25" xfId="0" applyNumberFormat="1" applyFont="1" applyFill="1" applyBorder="1"/>
    <xf numFmtId="0" fontId="4" fillId="4" borderId="1" xfId="0" applyFont="1" applyFill="1" applyBorder="1"/>
    <xf numFmtId="3" fontId="4" fillId="0" borderId="1" xfId="0" applyNumberFormat="1" applyFont="1" applyBorder="1"/>
    <xf numFmtId="0" fontId="5" fillId="9" borderId="1" xfId="0" applyFont="1" applyFill="1" applyBorder="1"/>
    <xf numFmtId="167" fontId="8" fillId="5" borderId="2" xfId="5" applyNumberFormat="1" applyFont="1" applyFill="1" applyBorder="1" applyAlignment="1">
      <alignment horizontal="center" vertical="center" wrapText="1"/>
    </xf>
    <xf numFmtId="6" fontId="16" fillId="12" borderId="30" xfId="0" applyNumberFormat="1" applyFont="1" applyFill="1" applyBorder="1" applyAlignment="1">
      <alignment vertical="center"/>
    </xf>
    <xf numFmtId="6" fontId="16" fillId="12" borderId="32" xfId="18" applyNumberFormat="1" applyFont="1" applyFill="1" applyBorder="1" applyAlignment="1">
      <alignment horizontal="center" vertical="center"/>
    </xf>
    <xf numFmtId="6" fontId="16" fillId="0" borderId="0" xfId="18" applyNumberFormat="1" applyFont="1" applyFill="1" applyBorder="1" applyAlignment="1">
      <alignment horizontal="center" vertical="center"/>
    </xf>
    <xf numFmtId="6" fontId="16" fillId="12" borderId="30" xfId="0" applyNumberFormat="1" applyFont="1" applyFill="1" applyBorder="1" applyAlignment="1">
      <alignment horizontal="center" vertical="center"/>
    </xf>
    <xf numFmtId="169" fontId="4" fillId="3" borderId="1" xfId="20" applyNumberFormat="1" applyFont="1" applyFill="1" applyBorder="1" applyAlignment="1">
      <alignment horizontal="center"/>
    </xf>
    <xf numFmtId="169" fontId="4" fillId="3" borderId="1" xfId="0" applyNumberFormat="1" applyFont="1" applyFill="1" applyBorder="1" applyAlignment="1">
      <alignment horizontal="center"/>
    </xf>
    <xf numFmtId="169" fontId="4" fillId="3" borderId="1" xfId="3" applyNumberFormat="1" applyFont="1" applyFill="1" applyBorder="1" applyAlignment="1">
      <alignment horizontal="center"/>
    </xf>
    <xf numFmtId="169" fontId="5" fillId="0" borderId="0" xfId="3" applyNumberFormat="1" applyFont="1" applyFill="1" applyBorder="1" applyAlignment="1">
      <alignment horizontal="center"/>
    </xf>
    <xf numFmtId="169" fontId="5" fillId="0" borderId="29" xfId="3" applyNumberFormat="1" applyFont="1" applyFill="1" applyBorder="1" applyAlignment="1">
      <alignment horizontal="center"/>
    </xf>
    <xf numFmtId="169" fontId="5" fillId="0" borderId="33" xfId="0" applyNumberFormat="1" applyFont="1" applyBorder="1"/>
    <xf numFmtId="169" fontId="5" fillId="0" borderId="33" xfId="3" applyNumberFormat="1" applyFont="1" applyFill="1" applyBorder="1" applyAlignment="1">
      <alignment horizontal="center"/>
    </xf>
    <xf numFmtId="169" fontId="5" fillId="0" borderId="34" xfId="3" applyNumberFormat="1" applyFont="1" applyFill="1" applyBorder="1" applyAlignment="1">
      <alignment horizontal="center"/>
    </xf>
    <xf numFmtId="169" fontId="5" fillId="0" borderId="0" xfId="0" applyNumberFormat="1" applyFont="1"/>
    <xf numFmtId="169" fontId="4" fillId="10" borderId="1" xfId="0" applyNumberFormat="1" applyFont="1" applyFill="1" applyBorder="1"/>
    <xf numFmtId="169" fontId="4" fillId="10" borderId="1" xfId="3" applyNumberFormat="1" applyFont="1" applyFill="1" applyBorder="1" applyAlignment="1">
      <alignment horizontal="center"/>
    </xf>
    <xf numFmtId="169" fontId="5" fillId="0" borderId="34" xfId="0" applyNumberFormat="1" applyFont="1" applyBorder="1"/>
    <xf numFmtId="169" fontId="5" fillId="0" borderId="34" xfId="0" applyNumberFormat="1" applyFont="1" applyBorder="1" applyAlignment="1">
      <alignment horizontal="center"/>
    </xf>
    <xf numFmtId="169" fontId="5" fillId="13" borderId="26" xfId="0" applyNumberFormat="1" applyFont="1" applyFill="1" applyBorder="1"/>
    <xf numFmtId="169" fontId="5" fillId="13" borderId="26" xfId="0" applyNumberFormat="1" applyFont="1" applyFill="1" applyBorder="1" applyAlignment="1">
      <alignment horizontal="center"/>
    </xf>
    <xf numFmtId="169" fontId="5" fillId="0" borderId="0" xfId="1" applyNumberFormat="1" applyFont="1" applyFill="1" applyBorder="1"/>
    <xf numFmtId="169" fontId="5" fillId="0" borderId="29" xfId="1" applyNumberFormat="1" applyFont="1" applyFill="1" applyBorder="1"/>
    <xf numFmtId="169" fontId="5" fillId="0" borderId="0" xfId="1" applyNumberFormat="1" applyFont="1" applyFill="1" applyBorder="1" applyAlignment="1">
      <alignment horizontal="center"/>
    </xf>
    <xf numFmtId="169" fontId="5" fillId="9" borderId="40" xfId="0" applyNumberFormat="1" applyFont="1" applyFill="1" applyBorder="1"/>
    <xf numFmtId="169" fontId="5" fillId="9" borderId="13" xfId="0" applyNumberFormat="1" applyFont="1" applyFill="1" applyBorder="1" applyAlignment="1">
      <alignment horizontal="center"/>
    </xf>
    <xf numFmtId="169" fontId="5" fillId="7" borderId="1" xfId="0" applyNumberFormat="1" applyFont="1" applyFill="1" applyBorder="1"/>
    <xf numFmtId="169" fontId="5" fillId="7" borderId="22" xfId="0" applyNumberFormat="1" applyFont="1" applyFill="1" applyBorder="1" applyAlignment="1">
      <alignment horizontal="center"/>
    </xf>
    <xf numFmtId="169" fontId="4" fillId="0" borderId="0" xfId="0" applyNumberFormat="1" applyFont="1"/>
    <xf numFmtId="169" fontId="4" fillId="0" borderId="0" xfId="3" applyNumberFormat="1" applyFont="1" applyFill="1" applyBorder="1" applyAlignment="1">
      <alignment horizontal="center"/>
    </xf>
    <xf numFmtId="169" fontId="5" fillId="7" borderId="14" xfId="0" applyNumberFormat="1" applyFont="1" applyFill="1" applyBorder="1"/>
    <xf numFmtId="169" fontId="5" fillId="7" borderId="35" xfId="0" applyNumberFormat="1" applyFont="1" applyFill="1" applyBorder="1" applyAlignment="1">
      <alignment horizontal="center"/>
    </xf>
    <xf numFmtId="169" fontId="4" fillId="0" borderId="0" xfId="3" applyNumberFormat="1" applyFont="1" applyFill="1" applyBorder="1"/>
    <xf numFmtId="169" fontId="4" fillId="0" borderId="0" xfId="0" applyNumberFormat="1" applyFont="1" applyAlignment="1">
      <alignment horizontal="center"/>
    </xf>
    <xf numFmtId="169" fontId="5" fillId="14" borderId="37" xfId="0" applyNumberFormat="1" applyFont="1" applyFill="1" applyBorder="1"/>
    <xf numFmtId="169" fontId="5" fillId="14" borderId="39" xfId="0" applyNumberFormat="1" applyFont="1" applyFill="1" applyBorder="1"/>
    <xf numFmtId="169" fontId="5" fillId="14" borderId="37" xfId="0" applyNumberFormat="1" applyFont="1" applyFill="1" applyBorder="1" applyAlignment="1">
      <alignment horizontal="center" vertical="center"/>
    </xf>
    <xf numFmtId="169" fontId="5" fillId="14" borderId="30" xfId="3" applyNumberFormat="1" applyFont="1" applyFill="1" applyBorder="1"/>
    <xf numFmtId="169" fontId="5" fillId="14" borderId="37" xfId="3" applyNumberFormat="1" applyFont="1" applyFill="1" applyBorder="1"/>
    <xf numFmtId="169" fontId="5" fillId="14" borderId="31" xfId="3" applyNumberFormat="1" applyFont="1" applyFill="1" applyBorder="1"/>
    <xf numFmtId="169" fontId="5" fillId="14" borderId="32" xfId="3" applyNumberFormat="1" applyFont="1" applyFill="1" applyBorder="1" applyAlignment="1">
      <alignment horizontal="center"/>
    </xf>
    <xf numFmtId="169" fontId="0" fillId="0" borderId="0" xfId="3" applyNumberFormat="1" applyFont="1"/>
    <xf numFmtId="169" fontId="2" fillId="0" borderId="0" xfId="3" applyNumberFormat="1" applyFont="1"/>
    <xf numFmtId="169" fontId="2" fillId="0" borderId="0" xfId="3" applyNumberFormat="1" applyFont="1" applyFill="1"/>
    <xf numFmtId="169" fontId="16" fillId="12" borderId="15" xfId="0" applyNumberFormat="1" applyFont="1" applyFill="1" applyBorder="1" applyAlignment="1">
      <alignment vertical="center"/>
    </xf>
    <xf numFmtId="169" fontId="16" fillId="12" borderId="27" xfId="0" applyNumberFormat="1" applyFont="1" applyFill="1" applyBorder="1" applyAlignment="1">
      <alignment vertical="center"/>
    </xf>
    <xf numFmtId="169" fontId="16" fillId="0" borderId="0" xfId="18" applyNumberFormat="1" applyFont="1" applyFill="1" applyBorder="1" applyAlignment="1">
      <alignment horizontal="center" vertical="center"/>
    </xf>
    <xf numFmtId="169" fontId="5" fillId="9" borderId="1" xfId="0" applyNumberFormat="1" applyFont="1" applyFill="1" applyBorder="1"/>
    <xf numFmtId="169" fontId="5" fillId="9" borderId="22" xfId="0" applyNumberFormat="1" applyFont="1" applyFill="1" applyBorder="1"/>
    <xf numFmtId="171" fontId="4" fillId="0" borderId="0" xfId="20" applyNumberFormat="1" applyFont="1"/>
    <xf numFmtId="171" fontId="15" fillId="8" borderId="16" xfId="20" applyNumberFormat="1" applyFont="1" applyFill="1" applyBorder="1" applyAlignment="1">
      <alignment horizontal="left"/>
    </xf>
    <xf numFmtId="41" fontId="16" fillId="12" borderId="30" xfId="0" applyNumberFormat="1" applyFont="1" applyFill="1" applyBorder="1" applyAlignment="1">
      <alignment vertical="center"/>
    </xf>
    <xf numFmtId="172" fontId="5" fillId="9" borderId="1" xfId="0" applyNumberFormat="1" applyFont="1" applyFill="1" applyBorder="1"/>
    <xf numFmtId="41" fontId="5" fillId="10" borderId="1" xfId="3" applyFont="1" applyFill="1" applyBorder="1" applyAlignment="1">
      <alignment horizontal="center"/>
    </xf>
    <xf numFmtId="169" fontId="5" fillId="9" borderId="1" xfId="0" applyNumberFormat="1" applyFont="1" applyFill="1" applyBorder="1" applyAlignment="1">
      <alignment horizontal="center"/>
    </xf>
    <xf numFmtId="169" fontId="5" fillId="12" borderId="1" xfId="0" applyNumberFormat="1" applyFont="1" applyFill="1" applyBorder="1" applyAlignment="1">
      <alignment horizontal="center"/>
    </xf>
    <xf numFmtId="169" fontId="5" fillId="12" borderId="1" xfId="3" applyNumberFormat="1" applyFont="1" applyFill="1" applyBorder="1" applyAlignment="1">
      <alignment horizontal="center"/>
    </xf>
    <xf numFmtId="169" fontId="5" fillId="3" borderId="1" xfId="3" applyNumberFormat="1" applyFont="1" applyFill="1" applyBorder="1" applyAlignment="1">
      <alignment horizontal="center"/>
    </xf>
    <xf numFmtId="41" fontId="5" fillId="3" borderId="1" xfId="3" applyFont="1" applyFill="1" applyBorder="1" applyAlignment="1">
      <alignment horizontal="center"/>
    </xf>
    <xf numFmtId="169" fontId="5" fillId="12" borderId="1" xfId="0" applyNumberFormat="1" applyFont="1" applyFill="1" applyBorder="1"/>
    <xf numFmtId="169" fontId="5" fillId="7" borderId="1" xfId="0" applyNumberFormat="1" applyFont="1" applyFill="1" applyBorder="1" applyAlignment="1">
      <alignment horizontal="center"/>
    </xf>
    <xf numFmtId="172" fontId="5" fillId="7" borderId="1" xfId="0" applyNumberFormat="1" applyFont="1" applyFill="1" applyBorder="1"/>
    <xf numFmtId="41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horizontal="center"/>
    </xf>
    <xf numFmtId="171" fontId="0" fillId="0" borderId="1" xfId="20" applyNumberFormat="1" applyFont="1" applyFill="1" applyBorder="1" applyAlignment="1">
      <alignment horizontal="center"/>
    </xf>
    <xf numFmtId="41" fontId="0" fillId="0" borderId="1" xfId="3" applyFont="1" applyFill="1" applyBorder="1" applyAlignment="1">
      <alignment horizontal="center"/>
    </xf>
    <xf numFmtId="41" fontId="2" fillId="0" borderId="1" xfId="3" applyFont="1" applyFill="1" applyBorder="1" applyAlignment="1">
      <alignment horizontal="center"/>
    </xf>
    <xf numFmtId="41" fontId="2" fillId="0" borderId="0" xfId="3" applyFont="1" applyFill="1" applyBorder="1" applyAlignment="1">
      <alignment horizontal="center"/>
    </xf>
    <xf numFmtId="169" fontId="2" fillId="0" borderId="0" xfId="3" applyNumberFormat="1" applyFont="1" applyFill="1" applyBorder="1" applyAlignment="1">
      <alignment horizontal="center"/>
    </xf>
    <xf numFmtId="164" fontId="5" fillId="9" borderId="1" xfId="0" applyNumberFormat="1" applyFont="1" applyFill="1" applyBorder="1"/>
    <xf numFmtId="0" fontId="4" fillId="0" borderId="1" xfId="0" applyFont="1" applyBorder="1"/>
    <xf numFmtId="171" fontId="4" fillId="0" borderId="1" xfId="20" applyNumberFormat="1" applyFont="1" applyBorder="1"/>
    <xf numFmtId="9" fontId="5" fillId="14" borderId="25" xfId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164" fontId="5" fillId="7" borderId="1" xfId="0" applyNumberFormat="1" applyFont="1" applyFill="1" applyBorder="1"/>
    <xf numFmtId="41" fontId="5" fillId="12" borderId="1" xfId="0" applyNumberFormat="1" applyFont="1" applyFill="1" applyBorder="1" applyAlignment="1">
      <alignment horizontal="center"/>
    </xf>
    <xf numFmtId="164" fontId="5" fillId="12" borderId="1" xfId="0" applyNumberFormat="1" applyFont="1" applyFill="1" applyBorder="1"/>
    <xf numFmtId="167" fontId="8" fillId="5" borderId="13" xfId="5" applyNumberFormat="1" applyFont="1" applyFill="1" applyBorder="1" applyAlignment="1">
      <alignment horizontal="center" vertical="center" wrapText="1"/>
    </xf>
    <xf numFmtId="0" fontId="7" fillId="4" borderId="2" xfId="4" applyFill="1" applyBorder="1" applyAlignment="1">
      <alignment horizontal="center" vertical="center"/>
    </xf>
    <xf numFmtId="0" fontId="7" fillId="5" borderId="3" xfId="4" applyFill="1" applyBorder="1" applyAlignment="1">
      <alignment horizontal="center" vertical="center"/>
    </xf>
    <xf numFmtId="0" fontId="7" fillId="4" borderId="0" xfId="4" applyFill="1" applyAlignment="1">
      <alignment horizontal="center" vertical="center"/>
    </xf>
    <xf numFmtId="171" fontId="7" fillId="4" borderId="0" xfId="20" applyNumberFormat="1" applyFont="1" applyFill="1"/>
    <xf numFmtId="171" fontId="7" fillId="4" borderId="0" xfId="20" applyNumberFormat="1" applyFont="1" applyFill="1" applyAlignment="1">
      <alignment horizontal="center" vertical="center"/>
    </xf>
    <xf numFmtId="171" fontId="13" fillId="4" borderId="0" xfId="20" applyNumberFormat="1" applyFont="1" applyFill="1"/>
    <xf numFmtId="171" fontId="8" fillId="4" borderId="0" xfId="20" applyNumberFormat="1" applyFont="1" applyFill="1"/>
    <xf numFmtId="171" fontId="7" fillId="4" borderId="0" xfId="20" applyNumberFormat="1" applyFont="1" applyFill="1" applyAlignment="1">
      <alignment wrapText="1"/>
    </xf>
    <xf numFmtId="0" fontId="8" fillId="4" borderId="0" xfId="4" applyFont="1" applyFill="1" applyAlignment="1">
      <alignment horizontal="center" vertical="center"/>
    </xf>
    <xf numFmtId="9" fontId="8" fillId="4" borderId="0" xfId="4" applyNumberFormat="1" applyFont="1" applyFill="1" applyAlignment="1">
      <alignment horizontal="center" vertical="center"/>
    </xf>
    <xf numFmtId="169" fontId="5" fillId="14" borderId="36" xfId="0" applyNumberFormat="1" applyFont="1" applyFill="1" applyBorder="1" applyAlignment="1">
      <alignment horizontal="center"/>
    </xf>
    <xf numFmtId="169" fontId="5" fillId="14" borderId="37" xfId="0" applyNumberFormat="1" applyFont="1" applyFill="1" applyBorder="1" applyAlignment="1">
      <alignment horizontal="center"/>
    </xf>
    <xf numFmtId="169" fontId="5" fillId="12" borderId="1" xfId="0" applyNumberFormat="1" applyFont="1" applyFill="1" applyBorder="1" applyAlignment="1">
      <alignment horizontal="center" vertical="center"/>
    </xf>
    <xf numFmtId="169" fontId="5" fillId="12" borderId="1" xfId="0" applyNumberFormat="1" applyFont="1" applyFill="1" applyBorder="1" applyAlignment="1">
      <alignment horizontal="center"/>
    </xf>
    <xf numFmtId="169" fontId="5" fillId="9" borderId="1" xfId="0" applyNumberFormat="1" applyFont="1" applyFill="1" applyBorder="1" applyAlignment="1">
      <alignment horizontal="center"/>
    </xf>
    <xf numFmtId="172" fontId="5" fillId="13" borderId="7" xfId="0" applyNumberFormat="1" applyFont="1" applyFill="1" applyBorder="1" applyAlignment="1">
      <alignment horizontal="center"/>
    </xf>
    <xf numFmtId="172" fontId="5" fillId="13" borderId="35" xfId="0" applyNumberFormat="1" applyFont="1" applyFill="1" applyBorder="1" applyAlignment="1">
      <alignment horizontal="center"/>
    </xf>
    <xf numFmtId="9" fontId="5" fillId="13" borderId="38" xfId="1" applyFont="1" applyFill="1" applyBorder="1" applyAlignment="1">
      <alignment horizontal="center" vertical="center"/>
    </xf>
    <xf numFmtId="9" fontId="5" fillId="13" borderId="28" xfId="1" applyFont="1" applyFill="1" applyBorder="1" applyAlignment="1">
      <alignment horizontal="center" vertical="center"/>
    </xf>
    <xf numFmtId="172" fontId="5" fillId="9" borderId="1" xfId="0" applyNumberFormat="1" applyFont="1" applyFill="1" applyBorder="1" applyAlignment="1">
      <alignment horizontal="center"/>
    </xf>
    <xf numFmtId="172" fontId="5" fillId="7" borderId="1" xfId="0" applyNumberFormat="1" applyFont="1" applyFill="1" applyBorder="1" applyAlignment="1">
      <alignment horizontal="center"/>
    </xf>
    <xf numFmtId="169" fontId="5" fillId="14" borderId="36" xfId="0" applyNumberFormat="1" applyFont="1" applyFill="1" applyBorder="1" applyAlignment="1">
      <alignment horizontal="center" vertical="center"/>
    </xf>
    <xf numFmtId="169" fontId="5" fillId="14" borderId="37" xfId="0" applyNumberFormat="1" applyFont="1" applyFill="1" applyBorder="1" applyAlignment="1">
      <alignment horizontal="center" vertical="center"/>
    </xf>
    <xf numFmtId="172" fontId="5" fillId="9" borderId="36" xfId="0" applyNumberFormat="1" applyFont="1" applyFill="1" applyBorder="1" applyAlignment="1">
      <alignment horizontal="center"/>
    </xf>
    <xf numFmtId="172" fontId="5" fillId="9" borderId="39" xfId="0" applyNumberFormat="1" applyFont="1" applyFill="1" applyBorder="1" applyAlignment="1">
      <alignment horizontal="center"/>
    </xf>
    <xf numFmtId="172" fontId="5" fillId="7" borderId="2" xfId="0" applyNumberFormat="1" applyFont="1" applyFill="1" applyBorder="1" applyAlignment="1">
      <alignment horizontal="center"/>
    </xf>
    <xf numFmtId="172" fontId="5" fillId="7" borderId="41" xfId="0" applyNumberFormat="1" applyFont="1" applyFill="1" applyBorder="1" applyAlignment="1">
      <alignment horizontal="center"/>
    </xf>
    <xf numFmtId="172" fontId="5" fillId="7" borderId="7" xfId="0" applyNumberFormat="1" applyFont="1" applyFill="1" applyBorder="1" applyAlignment="1">
      <alignment horizontal="center"/>
    </xf>
    <xf numFmtId="172" fontId="5" fillId="7" borderId="14" xfId="0" applyNumberFormat="1" applyFont="1" applyFill="1" applyBorder="1" applyAlignment="1">
      <alignment horizontal="center"/>
    </xf>
    <xf numFmtId="164" fontId="5" fillId="14" borderId="36" xfId="0" applyNumberFormat="1" applyFont="1" applyFill="1" applyBorder="1" applyAlignment="1">
      <alignment horizontal="center"/>
    </xf>
    <xf numFmtId="164" fontId="5" fillId="14" borderId="37" xfId="0" applyNumberFormat="1" applyFont="1" applyFill="1" applyBorder="1" applyAlignment="1">
      <alignment horizontal="center"/>
    </xf>
    <xf numFmtId="41" fontId="2" fillId="11" borderId="38" xfId="3" applyFont="1" applyFill="1" applyBorder="1" applyAlignment="1">
      <alignment horizontal="center" vertical="center" wrapText="1"/>
    </xf>
    <xf numFmtId="41" fontId="2" fillId="11" borderId="28" xfId="3" applyFont="1" applyFill="1" applyBorder="1" applyAlignment="1">
      <alignment horizontal="center" vertical="center" wrapText="1"/>
    </xf>
    <xf numFmtId="6" fontId="16" fillId="12" borderId="36" xfId="0" applyNumberFormat="1" applyFont="1" applyFill="1" applyBorder="1" applyAlignment="1">
      <alignment horizontal="center" vertical="center"/>
    </xf>
    <xf numFmtId="6" fontId="16" fillId="12" borderId="39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/>
    </xf>
    <xf numFmtId="0" fontId="5" fillId="14" borderId="7" xfId="0" applyFont="1" applyFill="1" applyBorder="1" applyAlignment="1">
      <alignment horizontal="center"/>
    </xf>
    <xf numFmtId="0" fontId="5" fillId="14" borderId="14" xfId="0" applyFont="1" applyFill="1" applyBorder="1" applyAlignment="1">
      <alignment horizontal="center"/>
    </xf>
    <xf numFmtId="0" fontId="5" fillId="14" borderId="38" xfId="0" applyFont="1" applyFill="1" applyBorder="1" applyAlignment="1">
      <alignment horizontal="center"/>
    </xf>
    <xf numFmtId="0" fontId="5" fillId="14" borderId="28" xfId="0" applyFont="1" applyFill="1" applyBorder="1" applyAlignment="1">
      <alignment horizontal="center"/>
    </xf>
    <xf numFmtId="0" fontId="5" fillId="7" borderId="42" xfId="0" applyFont="1" applyFill="1" applyBorder="1" applyAlignment="1">
      <alignment horizontal="left"/>
    </xf>
    <xf numFmtId="0" fontId="5" fillId="7" borderId="43" xfId="0" applyFont="1" applyFill="1" applyBorder="1" applyAlignment="1">
      <alignment horizontal="left"/>
    </xf>
    <xf numFmtId="0" fontId="16" fillId="12" borderId="36" xfId="0" applyFont="1" applyFill="1" applyBorder="1" applyAlignment="1">
      <alignment horizontal="center" vertical="center"/>
    </xf>
    <xf numFmtId="0" fontId="16" fillId="12" borderId="37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14" borderId="36" xfId="0" applyFont="1" applyFill="1" applyBorder="1" applyAlignment="1">
      <alignment horizontal="center"/>
    </xf>
    <xf numFmtId="0" fontId="5" fillId="14" borderId="37" xfId="0" applyFont="1" applyFill="1" applyBorder="1" applyAlignment="1">
      <alignment horizontal="center"/>
    </xf>
    <xf numFmtId="173" fontId="16" fillId="12" borderId="26" xfId="0" applyNumberFormat="1" applyFont="1" applyFill="1" applyBorder="1" applyAlignment="1">
      <alignment vertical="center"/>
    </xf>
    <xf numFmtId="173" fontId="16" fillId="12" borderId="15" xfId="0" applyNumberFormat="1" applyFont="1" applyFill="1" applyBorder="1" applyAlignment="1">
      <alignment vertical="center"/>
    </xf>
    <xf numFmtId="173" fontId="5" fillId="9" borderId="21" xfId="0" applyNumberFormat="1" applyFont="1" applyFill="1" applyBorder="1"/>
    <xf numFmtId="173" fontId="5" fillId="9" borderId="1" xfId="0" applyNumberFormat="1" applyFont="1" applyFill="1" applyBorder="1"/>
    <xf numFmtId="173" fontId="5" fillId="9" borderId="23" xfId="0" applyNumberFormat="1" applyFont="1" applyFill="1" applyBorder="1"/>
    <xf numFmtId="173" fontId="5" fillId="9" borderId="24" xfId="0" applyNumberFormat="1" applyFont="1" applyFill="1" applyBorder="1"/>
    <xf numFmtId="169" fontId="16" fillId="12" borderId="26" xfId="0" applyNumberFormat="1" applyFont="1" applyFill="1" applyBorder="1" applyAlignment="1">
      <alignment vertical="center"/>
    </xf>
    <xf numFmtId="169" fontId="16" fillId="12" borderId="15" xfId="0" applyNumberFormat="1" applyFont="1" applyFill="1" applyBorder="1" applyAlignment="1">
      <alignment vertical="center"/>
    </xf>
    <xf numFmtId="169" fontId="5" fillId="9" borderId="21" xfId="0" applyNumberFormat="1" applyFont="1" applyFill="1" applyBorder="1"/>
    <xf numFmtId="169" fontId="5" fillId="9" borderId="1" xfId="0" applyNumberFormat="1" applyFont="1" applyFill="1" applyBorder="1"/>
    <xf numFmtId="0" fontId="8" fillId="4" borderId="38" xfId="4" applyFont="1" applyFill="1" applyBorder="1" applyAlignment="1">
      <alignment horizontal="left" vertical="center" wrapText="1"/>
    </xf>
    <xf numFmtId="0" fontId="8" fillId="4" borderId="28" xfId="4" applyFont="1" applyFill="1" applyBorder="1" applyAlignment="1">
      <alignment horizontal="left" vertical="center" wrapText="1"/>
    </xf>
    <xf numFmtId="0" fontId="9" fillId="4" borderId="4" xfId="4" applyFont="1" applyFill="1" applyBorder="1" applyAlignment="1">
      <alignment horizontal="center"/>
    </xf>
    <xf numFmtId="0" fontId="9" fillId="4" borderId="0" xfId="4" applyFont="1" applyFill="1" applyAlignment="1">
      <alignment horizontal="center"/>
    </xf>
    <xf numFmtId="0" fontId="15" fillId="8" borderId="17" xfId="0" applyFont="1" applyFill="1" applyBorder="1" applyAlignment="1">
      <alignment horizontal="center" vertical="center"/>
    </xf>
    <xf numFmtId="0" fontId="15" fillId="8" borderId="18" xfId="0" applyFont="1" applyFill="1" applyBorder="1" applyAlignment="1">
      <alignment horizontal="center" vertical="center"/>
    </xf>
    <xf numFmtId="171" fontId="15" fillId="8" borderId="19" xfId="20" applyNumberFormat="1" applyFont="1" applyFill="1" applyBorder="1" applyAlignment="1">
      <alignment horizontal="center" vertical="center"/>
    </xf>
    <xf numFmtId="171" fontId="15" fillId="8" borderId="20" xfId="20" applyNumberFormat="1" applyFont="1" applyFill="1" applyBorder="1" applyAlignment="1">
      <alignment horizontal="center" vertical="center"/>
    </xf>
    <xf numFmtId="171" fontId="15" fillId="8" borderId="17" xfId="20" applyNumberFormat="1" applyFont="1" applyFill="1" applyBorder="1" applyAlignment="1">
      <alignment horizontal="center" vertical="center"/>
    </xf>
    <xf numFmtId="171" fontId="15" fillId="8" borderId="18" xfId="20" applyNumberFormat="1" applyFont="1" applyFill="1" applyBorder="1" applyAlignment="1">
      <alignment horizontal="center" vertical="center"/>
    </xf>
    <xf numFmtId="0" fontId="4" fillId="0" borderId="1" xfId="0" applyFont="1" applyFill="1" applyBorder="1"/>
  </cellXfs>
  <cellStyles count="22">
    <cellStyle name="Millares" xfId="20" builtinId="3"/>
    <cellStyle name="Millares [0]" xfId="3" builtinId="6"/>
    <cellStyle name="Millares [0] 11" xfId="6" xr:uid="{00000000-0005-0000-0000-000001000000}"/>
    <cellStyle name="Millares [0] 11 2" xfId="14" xr:uid="{43D62FAE-EBB7-4F1C-92FC-1AE21F87E4E0}"/>
    <cellStyle name="Millares [0] 2" xfId="8" xr:uid="{00000000-0005-0000-0000-000002000000}"/>
    <cellStyle name="Millares [0] 2 2" xfId="7" xr:uid="{00000000-0005-0000-0000-000003000000}"/>
    <cellStyle name="Millares [0] 2 2 2" xfId="15" xr:uid="{3781752B-E167-45FA-9C4A-BAFFC356D9F8}"/>
    <cellStyle name="Millares [0] 2 3" xfId="16" xr:uid="{5C0A5234-3011-4918-9647-F391BDEDEF4B}"/>
    <cellStyle name="Millares [0] 3" xfId="12" xr:uid="{F7605D12-27E6-4786-83DA-98094CB7E7D3}"/>
    <cellStyle name="Millares 2" xfId="21" xr:uid="{589F6703-2AF9-4F83-B73E-4510F4242B88}"/>
    <cellStyle name="Millares 2 4" xfId="5" xr:uid="{00000000-0005-0000-0000-000004000000}"/>
    <cellStyle name="Millares 2 4 2" xfId="13" xr:uid="{3839C1CA-0610-4B99-B4E8-E1B272B857F7}"/>
    <cellStyle name="Moneda" xfId="18" builtinId="4"/>
    <cellStyle name="Moneda 2" xfId="2" xr:uid="{00000000-0005-0000-0000-000005000000}"/>
    <cellStyle name="Normal" xfId="0" builtinId="0"/>
    <cellStyle name="Normal 16 2 2" xfId="17" xr:uid="{014A6EBA-496C-47B1-85EC-833A703F341C}"/>
    <cellStyle name="Normal 2" xfId="10" xr:uid="{C16137EB-0B0C-4651-A547-961140B1516D}"/>
    <cellStyle name="Normal 2 2" xfId="4" xr:uid="{00000000-0005-0000-0000-000007000000}"/>
    <cellStyle name="Normal 3" xfId="19" xr:uid="{EADD4EB5-93D5-4C1D-8646-64AC8FE6951B}"/>
    <cellStyle name="Porcentaje" xfId="1" builtinId="5"/>
    <cellStyle name="Porcentaje 2" xfId="9" xr:uid="{00000000-0005-0000-0000-000009000000}"/>
    <cellStyle name="Porcentaje 3" xfId="11" xr:uid="{4E82A239-34A8-4F7F-BAE9-8A8A75D8112A}"/>
  </cellStyles>
  <dxfs count="17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EF5F0"/>
      <color rgb="FFFDEFE7"/>
      <color rgb="FFF3F5FB"/>
      <color rgb="FFE9EDF7"/>
      <color rgb="FFE7F6FF"/>
      <color rgb="FFCCECFF"/>
      <color rgb="FFFF00FF"/>
      <color rgb="FFFF3300"/>
      <color rgb="FFFF99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90</xdr:row>
      <xdr:rowOff>9525</xdr:rowOff>
    </xdr:from>
    <xdr:to>
      <xdr:col>11</xdr:col>
      <xdr:colOff>390525</xdr:colOff>
      <xdr:row>91</xdr:row>
      <xdr:rowOff>161925</xdr:rowOff>
    </xdr:to>
    <xdr:sp macro="[0]!abrir_formulario" textlink="">
      <xdr:nvSpPr>
        <xdr:cNvPr id="2" name="Rectángulo 1">
          <a:extLst>
            <a:ext uri="{FF2B5EF4-FFF2-40B4-BE49-F238E27FC236}">
              <a16:creationId xmlns:a16="http://schemas.microsoft.com/office/drawing/2014/main" id="{299F2833-09C2-4F80-9FD5-277C76B3289C}"/>
            </a:ext>
          </a:extLst>
        </xdr:cNvPr>
        <xdr:cNvSpPr/>
      </xdr:nvSpPr>
      <xdr:spPr>
        <a:xfrm>
          <a:off x="8439150" y="17154525"/>
          <a:ext cx="2676525" cy="34290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100" b="1"/>
            <a:t>AGREGAR</a:t>
          </a:r>
          <a:r>
            <a:rPr lang="es-CO" sz="1100" b="1" baseline="0"/>
            <a:t> CUENTA EN EL PRESUPUESTO</a:t>
          </a:r>
          <a:endParaRPr lang="es-CO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iderepena\plantillas\DERESIDEREP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E"/>
      <sheetName val="R77"/>
      <sheetName val="COMPARAP"/>
    </sheetNames>
    <sheetDataSet>
      <sheetData sheetId="0" refreshError="1"/>
      <sheetData sheetId="1">
        <row r="49">
          <cell r="C49">
            <v>0</v>
          </cell>
        </row>
      </sheetData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lcolm Edghill" id="{46828F29-2329-48AC-AEFB-322F76F8922F}" userId="fb30ef0cf9e77265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25" dT="2022-07-25T20:49:41.27" personId="{46828F29-2329-48AC-AEFB-322F76F8922F}" id="{ECA18E8D-A554-4748-82BD-B5C0EC22F4B2}">
    <text>Aumento Salario Adriana</text>
  </threadedComment>
  <threadedComment ref="AA25" dT="2022-07-26T22:27:42.33" personId="{46828F29-2329-48AC-AEFB-322F76F8922F}" id="{3607B23A-F064-456D-BE6A-FEE834DE32E8}">
    <text>Aumento Salario Adriana y Malcolm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L182"/>
  <sheetViews>
    <sheetView showGridLines="0" tabSelected="1" zoomScale="80" zoomScaleNormal="80" workbookViewId="0">
      <pane xSplit="3" ySplit="2" topLeftCell="AY3" activePane="bottomRight" state="frozen"/>
      <selection pane="topRight" activeCell="D1" sqref="D1"/>
      <selection pane="bottomLeft" activeCell="A3" sqref="A3"/>
      <selection pane="bottomRight" activeCell="A11" sqref="A11"/>
    </sheetView>
  </sheetViews>
  <sheetFormatPr baseColWidth="10" defaultRowHeight="15"/>
  <cols>
    <col min="1" max="1" width="46.85546875" style="61" customWidth="1"/>
    <col min="2" max="2" width="11.85546875" style="64" customWidth="1"/>
    <col min="3" max="3" width="16.28515625" style="61" customWidth="1"/>
    <col min="4" max="4" width="4.5703125" style="61" customWidth="1"/>
    <col min="5" max="6" width="15.28515625" style="3" hidden="1" customWidth="1"/>
    <col min="7" max="7" width="16.7109375" style="3" hidden="1" customWidth="1"/>
    <col min="8" max="8" width="15.140625" style="3" hidden="1" customWidth="1"/>
    <col min="9" max="9" width="16.5703125" style="3" hidden="1" customWidth="1"/>
    <col min="10" max="10" width="16.7109375" style="58" hidden="1" customWidth="1"/>
    <col min="11" max="11" width="5.5703125" style="66" hidden="1" customWidth="1"/>
    <col min="12" max="13" width="15.140625" style="59" hidden="1" customWidth="1"/>
    <col min="14" max="14" width="16.7109375" style="59" hidden="1" customWidth="1"/>
    <col min="15" max="15" width="17" style="59" hidden="1" customWidth="1"/>
    <col min="16" max="16" width="17.85546875" style="59" hidden="1" customWidth="1"/>
    <col min="17" max="17" width="16.7109375" style="60" hidden="1" customWidth="1"/>
    <col min="18" max="18" width="5.5703125" style="66" hidden="1" customWidth="1"/>
    <col min="19" max="20" width="17.42578125" style="3" hidden="1" customWidth="1"/>
    <col min="21" max="21" width="15.140625" style="3" hidden="1" customWidth="1"/>
    <col min="22" max="22" width="17.140625" style="3" hidden="1" customWidth="1"/>
    <col min="23" max="23" width="17.85546875" style="3" hidden="1" customWidth="1"/>
    <col min="24" max="24" width="15.28515625" style="58" hidden="1" customWidth="1"/>
    <col min="25" max="25" width="5.5703125" style="66" hidden="1" customWidth="1"/>
    <col min="26" max="28" width="15.140625" style="59" hidden="1" customWidth="1"/>
    <col min="29" max="29" width="17" style="59" hidden="1" customWidth="1"/>
    <col min="30" max="30" width="17.85546875" style="59" hidden="1" customWidth="1"/>
    <col min="31" max="31" width="15.28515625" style="60" hidden="1" customWidth="1"/>
    <col min="32" max="32" width="5.5703125" style="66" hidden="1" customWidth="1"/>
    <col min="33" max="34" width="17.42578125" style="3" hidden="1" customWidth="1"/>
    <col min="35" max="36" width="15.140625" style="3" hidden="1" customWidth="1"/>
    <col min="37" max="37" width="17.85546875" style="3" hidden="1" customWidth="1"/>
    <col min="38" max="38" width="15.28515625" style="58" hidden="1" customWidth="1"/>
    <col min="39" max="39" width="5.5703125" style="66" customWidth="1"/>
    <col min="40" max="41" width="15.140625" style="59" customWidth="1"/>
    <col min="42" max="42" width="16.5703125" style="59" customWidth="1"/>
    <col min="43" max="43" width="17" style="59" customWidth="1"/>
    <col min="44" max="44" width="17.85546875" style="59" customWidth="1"/>
    <col min="45" max="45" width="16.85546875" style="60" customWidth="1"/>
    <col min="46" max="46" width="5.5703125" style="66" customWidth="1"/>
    <col min="47" max="51" width="18.140625" style="3" customWidth="1"/>
    <col min="52" max="52" width="18.140625" style="58" customWidth="1"/>
    <col min="53" max="53" width="5.5703125" style="66" customWidth="1"/>
    <col min="54" max="58" width="16.85546875" style="59" customWidth="1"/>
    <col min="59" max="59" width="16.85546875" style="60" customWidth="1"/>
    <col min="60" max="60" width="5.5703125" style="66" customWidth="1"/>
    <col min="61" max="62" width="15.140625" style="59" customWidth="1"/>
    <col min="63" max="63" width="17.140625" style="59" customWidth="1"/>
    <col min="64" max="64" width="16.7109375" style="59" bestFit="1" customWidth="1"/>
    <col min="65" max="65" width="16.7109375" style="59" customWidth="1"/>
    <col min="66" max="66" width="16.85546875" style="60" customWidth="1"/>
    <col min="67" max="67" width="5.5703125" style="66" customWidth="1"/>
    <col min="68" max="69" width="15.140625" style="59" customWidth="1"/>
    <col min="70" max="70" width="16.42578125" style="59" customWidth="1"/>
    <col min="71" max="71" width="18.7109375" style="59" bestFit="1" customWidth="1"/>
    <col min="72" max="72" width="17.85546875" style="59" customWidth="1"/>
    <col min="73" max="73" width="16.85546875" style="60" customWidth="1"/>
    <col min="74" max="74" width="5.5703125" style="66" customWidth="1"/>
    <col min="75" max="76" width="15.140625" style="59" customWidth="1"/>
    <col min="77" max="77" width="16.7109375" style="59" bestFit="1" customWidth="1"/>
    <col min="78" max="78" width="18.7109375" style="59" bestFit="1" customWidth="1"/>
    <col min="79" max="79" width="17.85546875" style="59" customWidth="1"/>
    <col min="80" max="80" width="16.85546875" style="60" customWidth="1"/>
    <col min="81" max="81" width="5.5703125" style="66" customWidth="1"/>
    <col min="82" max="83" width="15.140625" style="59" customWidth="1"/>
    <col min="84" max="84" width="17" style="59" customWidth="1"/>
    <col min="85" max="85" width="18.7109375" style="59" bestFit="1" customWidth="1"/>
    <col min="86" max="86" width="17.85546875" style="59" customWidth="1"/>
    <col min="87" max="87" width="16.85546875" style="60" customWidth="1"/>
    <col min="88" max="88" width="14.140625" style="3" bestFit="1" customWidth="1"/>
    <col min="89" max="89" width="16.85546875" style="3" customWidth="1"/>
    <col min="90" max="90" width="12.5703125" style="3" bestFit="1" customWidth="1"/>
    <col min="91" max="91" width="12.5703125" bestFit="1" customWidth="1"/>
  </cols>
  <sheetData>
    <row r="1" spans="1:90" ht="18.75">
      <c r="A1"/>
      <c r="B1"/>
      <c r="C1"/>
      <c r="D1"/>
      <c r="E1" s="250" t="s">
        <v>434</v>
      </c>
      <c r="F1" s="251"/>
      <c r="G1" s="251"/>
      <c r="H1" s="251"/>
      <c r="I1" s="251"/>
      <c r="J1" s="252"/>
      <c r="L1" s="250" t="s">
        <v>222</v>
      </c>
      <c r="M1" s="251"/>
      <c r="N1" s="251"/>
      <c r="O1" s="251"/>
      <c r="P1" s="251"/>
      <c r="Q1" s="252"/>
      <c r="S1" s="250" t="s">
        <v>221</v>
      </c>
      <c r="T1" s="251"/>
      <c r="U1" s="251"/>
      <c r="V1" s="251"/>
      <c r="W1" s="251"/>
      <c r="X1" s="252"/>
      <c r="Z1" s="250" t="s">
        <v>220</v>
      </c>
      <c r="AA1" s="251"/>
      <c r="AB1" s="251"/>
      <c r="AC1" s="251"/>
      <c r="AD1" s="251"/>
      <c r="AE1" s="252"/>
      <c r="AG1" s="250" t="s">
        <v>219</v>
      </c>
      <c r="AH1" s="251"/>
      <c r="AI1" s="251"/>
      <c r="AJ1" s="251"/>
      <c r="AK1" s="251"/>
      <c r="AL1" s="252"/>
      <c r="AN1" s="250" t="s">
        <v>218</v>
      </c>
      <c r="AO1" s="251"/>
      <c r="AP1" s="251"/>
      <c r="AQ1" s="251"/>
      <c r="AR1" s="251"/>
      <c r="AS1" s="252"/>
      <c r="AU1" s="250" t="s">
        <v>217</v>
      </c>
      <c r="AV1" s="251"/>
      <c r="AW1" s="251"/>
      <c r="AX1" s="251"/>
      <c r="AY1" s="251"/>
      <c r="AZ1" s="252"/>
      <c r="BB1" s="250" t="s">
        <v>209</v>
      </c>
      <c r="BC1" s="251"/>
      <c r="BD1" s="251"/>
      <c r="BE1" s="251"/>
      <c r="BF1" s="251"/>
      <c r="BG1" s="252"/>
      <c r="BI1" s="250" t="s">
        <v>216</v>
      </c>
      <c r="BJ1" s="251"/>
      <c r="BK1" s="251"/>
      <c r="BL1" s="251"/>
      <c r="BM1" s="251"/>
      <c r="BN1" s="252"/>
      <c r="BP1" s="250" t="s">
        <v>215</v>
      </c>
      <c r="BQ1" s="251"/>
      <c r="BR1" s="251"/>
      <c r="BS1" s="251"/>
      <c r="BT1" s="251"/>
      <c r="BU1" s="252"/>
      <c r="BW1" s="250" t="s">
        <v>214</v>
      </c>
      <c r="BX1" s="251"/>
      <c r="BY1" s="251"/>
      <c r="BZ1" s="251"/>
      <c r="CA1" s="251"/>
      <c r="CB1" s="252"/>
      <c r="CD1" s="250" t="s">
        <v>213</v>
      </c>
      <c r="CE1" s="251"/>
      <c r="CF1" s="251"/>
      <c r="CG1" s="251"/>
      <c r="CH1" s="251"/>
      <c r="CI1" s="252"/>
    </row>
    <row r="2" spans="1:90" s="56" customFormat="1" ht="48.75" customHeight="1" thickBot="1">
      <c r="A2" s="116" t="s">
        <v>192</v>
      </c>
      <c r="B2" s="116" t="s">
        <v>85</v>
      </c>
      <c r="C2" s="117" t="s">
        <v>208</v>
      </c>
      <c r="D2" s="77"/>
      <c r="E2" s="246" t="s">
        <v>518</v>
      </c>
      <c r="F2" s="247"/>
      <c r="G2" s="118" t="s">
        <v>210</v>
      </c>
      <c r="H2" s="118" t="s">
        <v>212</v>
      </c>
      <c r="I2" s="118" t="s">
        <v>519</v>
      </c>
      <c r="J2" s="119" t="s">
        <v>211</v>
      </c>
      <c r="K2" s="75"/>
      <c r="L2" s="246" t="str">
        <f>E2</f>
        <v>PRESUPUESTO MES</v>
      </c>
      <c r="M2" s="247"/>
      <c r="N2" s="118" t="str">
        <f>G2</f>
        <v>MES REAL</v>
      </c>
      <c r="O2" s="118" t="str">
        <f t="shared" ref="O2:Q2" si="0">H2</f>
        <v>ACUMULADO PRESUPUESTO</v>
      </c>
      <c r="P2" s="118" t="str">
        <f t="shared" si="0"/>
        <v>ACUMULADO EJECUCIÓN</v>
      </c>
      <c r="Q2" s="118" t="str">
        <f t="shared" si="0"/>
        <v>VARIACION</v>
      </c>
      <c r="R2" s="75"/>
      <c r="S2" s="246" t="str">
        <f>L2</f>
        <v>PRESUPUESTO MES</v>
      </c>
      <c r="T2" s="247"/>
      <c r="U2" s="118" t="str">
        <f>N2</f>
        <v>MES REAL</v>
      </c>
      <c r="V2" s="118" t="str">
        <f t="shared" ref="V2" si="1">O2</f>
        <v>ACUMULADO PRESUPUESTO</v>
      </c>
      <c r="W2" s="118" t="str">
        <f t="shared" ref="W2" si="2">P2</f>
        <v>ACUMULADO EJECUCIÓN</v>
      </c>
      <c r="X2" s="118" t="str">
        <f t="shared" ref="X2" si="3">Q2</f>
        <v>VARIACION</v>
      </c>
      <c r="Y2" s="75"/>
      <c r="Z2" s="246" t="str">
        <f>S2</f>
        <v>PRESUPUESTO MES</v>
      </c>
      <c r="AA2" s="247"/>
      <c r="AB2" s="118" t="str">
        <f>U2</f>
        <v>MES REAL</v>
      </c>
      <c r="AC2" s="118" t="str">
        <f t="shared" ref="AC2" si="4">V2</f>
        <v>ACUMULADO PRESUPUESTO</v>
      </c>
      <c r="AD2" s="118" t="str">
        <f t="shared" ref="AD2" si="5">W2</f>
        <v>ACUMULADO EJECUCIÓN</v>
      </c>
      <c r="AE2" s="118" t="str">
        <f t="shared" ref="AE2" si="6">X2</f>
        <v>VARIACION</v>
      </c>
      <c r="AF2" s="75"/>
      <c r="AG2" s="246" t="str">
        <f>Z2</f>
        <v>PRESUPUESTO MES</v>
      </c>
      <c r="AH2" s="247"/>
      <c r="AI2" s="118" t="str">
        <f>AB2</f>
        <v>MES REAL</v>
      </c>
      <c r="AJ2" s="118" t="str">
        <f t="shared" ref="AJ2" si="7">AC2</f>
        <v>ACUMULADO PRESUPUESTO</v>
      </c>
      <c r="AK2" s="118" t="str">
        <f t="shared" ref="AK2" si="8">AD2</f>
        <v>ACUMULADO EJECUCIÓN</v>
      </c>
      <c r="AL2" s="118" t="str">
        <f t="shared" ref="AL2" si="9">AE2</f>
        <v>VARIACION</v>
      </c>
      <c r="AM2" s="75"/>
      <c r="AN2" s="246" t="str">
        <f>AG2</f>
        <v>PRESUPUESTO MES</v>
      </c>
      <c r="AO2" s="247"/>
      <c r="AP2" s="118" t="str">
        <f>AI2</f>
        <v>MES REAL</v>
      </c>
      <c r="AQ2" s="118" t="str">
        <f t="shared" ref="AQ2" si="10">AJ2</f>
        <v>ACUMULADO PRESUPUESTO</v>
      </c>
      <c r="AR2" s="118" t="str">
        <f t="shared" ref="AR2" si="11">AK2</f>
        <v>ACUMULADO EJECUCIÓN</v>
      </c>
      <c r="AS2" s="118" t="str">
        <f t="shared" ref="AS2" si="12">AL2</f>
        <v>VARIACION</v>
      </c>
      <c r="AT2" s="75"/>
      <c r="AU2" s="246" t="str">
        <f>AN2</f>
        <v>PRESUPUESTO MES</v>
      </c>
      <c r="AV2" s="247"/>
      <c r="AW2" s="118" t="str">
        <f>AP2</f>
        <v>MES REAL</v>
      </c>
      <c r="AX2" s="118" t="str">
        <f t="shared" ref="AX2" si="13">AQ2</f>
        <v>ACUMULADO PRESUPUESTO</v>
      </c>
      <c r="AY2" s="118" t="str">
        <f t="shared" ref="AY2" si="14">AR2</f>
        <v>ACUMULADO EJECUCIÓN</v>
      </c>
      <c r="AZ2" s="118" t="str">
        <f t="shared" ref="AZ2" si="15">AS2</f>
        <v>VARIACION</v>
      </c>
      <c r="BA2" s="75"/>
      <c r="BB2" s="246" t="str">
        <f>AU2</f>
        <v>PRESUPUESTO MES</v>
      </c>
      <c r="BC2" s="247"/>
      <c r="BD2" s="118" t="str">
        <f>AW2</f>
        <v>MES REAL</v>
      </c>
      <c r="BE2" s="118" t="str">
        <f t="shared" ref="BE2" si="16">AX2</f>
        <v>ACUMULADO PRESUPUESTO</v>
      </c>
      <c r="BF2" s="118" t="str">
        <f t="shared" ref="BF2" si="17">AY2</f>
        <v>ACUMULADO EJECUCIÓN</v>
      </c>
      <c r="BG2" s="118" t="str">
        <f t="shared" ref="BG2" si="18">AZ2</f>
        <v>VARIACION</v>
      </c>
      <c r="BH2" s="75"/>
      <c r="BI2" s="246" t="str">
        <f>BB2</f>
        <v>PRESUPUESTO MES</v>
      </c>
      <c r="BJ2" s="247"/>
      <c r="BK2" s="118" t="str">
        <f>BD2</f>
        <v>MES REAL</v>
      </c>
      <c r="BL2" s="118" t="str">
        <f t="shared" ref="BL2" si="19">BE2</f>
        <v>ACUMULADO PRESUPUESTO</v>
      </c>
      <c r="BM2" s="118" t="str">
        <f t="shared" ref="BM2" si="20">BF2</f>
        <v>ACUMULADO EJECUCIÓN</v>
      </c>
      <c r="BN2" s="118" t="str">
        <f t="shared" ref="BN2" si="21">BG2</f>
        <v>VARIACION</v>
      </c>
      <c r="BO2" s="75"/>
      <c r="BP2" s="246" t="str">
        <f>BI2</f>
        <v>PRESUPUESTO MES</v>
      </c>
      <c r="BQ2" s="247"/>
      <c r="BR2" s="118" t="str">
        <f>BK2</f>
        <v>MES REAL</v>
      </c>
      <c r="BS2" s="118" t="str">
        <f t="shared" ref="BS2" si="22">BL2</f>
        <v>ACUMULADO PRESUPUESTO</v>
      </c>
      <c r="BT2" s="118" t="str">
        <f t="shared" ref="BT2" si="23">BM2</f>
        <v>ACUMULADO EJECUCIÓN</v>
      </c>
      <c r="BU2" s="118" t="str">
        <f t="shared" ref="BU2" si="24">BN2</f>
        <v>VARIACION</v>
      </c>
      <c r="BV2" s="75"/>
      <c r="BW2" s="246" t="str">
        <f>BP2</f>
        <v>PRESUPUESTO MES</v>
      </c>
      <c r="BX2" s="247"/>
      <c r="BY2" s="118" t="str">
        <f>BR2</f>
        <v>MES REAL</v>
      </c>
      <c r="BZ2" s="118" t="str">
        <f t="shared" ref="BZ2" si="25">BS2</f>
        <v>ACUMULADO PRESUPUESTO</v>
      </c>
      <c r="CA2" s="118" t="str">
        <f t="shared" ref="CA2" si="26">BT2</f>
        <v>ACUMULADO EJECUCIÓN</v>
      </c>
      <c r="CB2" s="118" t="str">
        <f t="shared" ref="CB2" si="27">BU2</f>
        <v>VARIACION</v>
      </c>
      <c r="CC2" s="75"/>
      <c r="CD2" s="246" t="str">
        <f>BW2</f>
        <v>PRESUPUESTO MES</v>
      </c>
      <c r="CE2" s="247"/>
      <c r="CF2" s="118" t="str">
        <f>BY2</f>
        <v>MES REAL</v>
      </c>
      <c r="CG2" s="118" t="str">
        <f t="shared" ref="CG2" si="28">BZ2</f>
        <v>ACUMULADO PRESUPUESTO</v>
      </c>
      <c r="CH2" s="118" t="str">
        <f t="shared" ref="CH2" si="29">CA2</f>
        <v>ACUMULADO EJECUCIÓN</v>
      </c>
      <c r="CI2" s="118" t="str">
        <f t="shared" ref="CI2" si="30">CB2</f>
        <v>VARIACION</v>
      </c>
      <c r="CJ2" s="55"/>
      <c r="CK2" s="55"/>
      <c r="CL2" s="55"/>
    </row>
    <row r="3" spans="1:90" s="56" customFormat="1" ht="11.25" customHeight="1" thickBot="1">
      <c r="A3" s="64"/>
      <c r="B3" s="64"/>
      <c r="C3" s="77"/>
      <c r="D3" s="77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82"/>
      <c r="CK3" s="82"/>
      <c r="CL3" s="82"/>
    </row>
    <row r="4" spans="1:90" s="68" customFormat="1" ht="23.25" customHeight="1" thickBot="1">
      <c r="A4" s="263" t="s">
        <v>1</v>
      </c>
      <c r="B4" s="264"/>
      <c r="C4" s="107">
        <f ca="1">IFERROR(C6+C15+C21,0)</f>
        <v>779241017.65999997</v>
      </c>
      <c r="D4" s="79"/>
      <c r="E4" s="248">
        <f ca="1">IFERROR(E6+E15+E21,0)</f>
        <v>54553259.138333328</v>
      </c>
      <c r="F4" s="249"/>
      <c r="G4" s="137">
        <f ca="1">IFERROR(G6+G15+G21,0)</f>
        <v>52718176.299999997</v>
      </c>
      <c r="H4" s="137">
        <f ca="1">IFERROR(E4,0)</f>
        <v>54553259.138333328</v>
      </c>
      <c r="I4" s="137">
        <f ca="1">IFERROR(I6+I15+I21,0)</f>
        <v>52718176.299999997</v>
      </c>
      <c r="J4" s="138">
        <f ca="1">IFERROR(E4-G4,0)</f>
        <v>1835082.838333331</v>
      </c>
      <c r="K4" s="139"/>
      <c r="L4" s="248">
        <f ca="1">IFERROR(L6+L15+L21,0)</f>
        <v>54553259.138333328</v>
      </c>
      <c r="M4" s="249"/>
      <c r="N4" s="137">
        <f ca="1">IFERROR(N6+N15+N21,0)</f>
        <v>62633558.399999999</v>
      </c>
      <c r="O4" s="137">
        <f ca="1">IFERROR(L4,0)</f>
        <v>54553259.138333328</v>
      </c>
      <c r="P4" s="137">
        <f ca="1">IFERROR(P6+P15+P21,0)</f>
        <v>115351734.7</v>
      </c>
      <c r="Q4" s="138">
        <f ca="1">IFERROR(L4-N4,0)</f>
        <v>-8080299.2616666704</v>
      </c>
      <c r="R4" s="139"/>
      <c r="S4" s="248">
        <f ca="1">IFERROR(S6+S15+S21,0)</f>
        <v>59518425.805</v>
      </c>
      <c r="T4" s="249"/>
      <c r="U4" s="137">
        <f ca="1">IFERROR(U6+U15+U21,0)</f>
        <v>48183658.759999998</v>
      </c>
      <c r="V4" s="186">
        <f ca="1">SUM(V7:V12)</f>
        <v>168620330.66666669</v>
      </c>
      <c r="W4" s="137">
        <f ca="1">IFERROR(W6+W15+W21,0)</f>
        <v>163535393.46000001</v>
      </c>
      <c r="X4" s="138">
        <f ca="1">IFERROR(S4-U4,0)</f>
        <v>11334767.045000002</v>
      </c>
      <c r="Y4" s="139"/>
      <c r="Z4" s="248">
        <f ca="1">IFERROR(Z6+Z15+Z21,0)</f>
        <v>62773981.360555552</v>
      </c>
      <c r="AA4" s="249"/>
      <c r="AB4" s="137">
        <f ca="1">IFERROR(AB6+AB15+AB21,0)</f>
        <v>72898061.480000004</v>
      </c>
      <c r="AC4" s="137">
        <f ca="1">IFERROR(Z4,0)</f>
        <v>62773981.360555552</v>
      </c>
      <c r="AD4" s="137">
        <f ca="1">IFERROR(AD6+AD15+AD21,0)</f>
        <v>238224843.44</v>
      </c>
      <c r="AE4" s="138">
        <f ca="1">IFERROR(Z4-AB4,0)</f>
        <v>-10124080.119444452</v>
      </c>
      <c r="AF4" s="139"/>
      <c r="AG4" s="248">
        <f ca="1">IFERROR(AG6+AG15+AG21,0)</f>
        <v>62968425.805</v>
      </c>
      <c r="AH4" s="249"/>
      <c r="AI4" s="137">
        <f ca="1">IFERROR(AI6+AI15+AI21,0)</f>
        <v>69883602.439999998</v>
      </c>
      <c r="AJ4" s="137">
        <f ca="1">IFERROR(AG4,0)</f>
        <v>62968425.805</v>
      </c>
      <c r="AK4" s="137">
        <f ca="1">IFERROR(AK6+AK15+AK21,0)</f>
        <v>308108445.88</v>
      </c>
      <c r="AL4" s="138">
        <f ca="1">IFERROR(AG4-AI4,0)</f>
        <v>-6915176.6349999979</v>
      </c>
      <c r="AM4" s="139"/>
      <c r="AN4" s="248">
        <f ca="1">IFERROR(AN6+AN15+AN21,0)</f>
        <v>70168425.805000007</v>
      </c>
      <c r="AO4" s="249"/>
      <c r="AP4" s="137">
        <f ca="1">IFERROR(AP6+AP15+AP21,0)</f>
        <v>83303451.450000003</v>
      </c>
      <c r="AQ4" s="137">
        <f ca="1">IFERROR(AN4,0)</f>
        <v>70168425.805000007</v>
      </c>
      <c r="AR4" s="137">
        <f ca="1">IFERROR(AR6+AR15+AR21,0)</f>
        <v>391411897.32999998</v>
      </c>
      <c r="AS4" s="138">
        <f ca="1">IFERROR(AN4-AP4,0)</f>
        <v>-13135025.644999996</v>
      </c>
      <c r="AT4" s="139"/>
      <c r="AU4" s="248">
        <f ca="1">IFERROR(AU6+AU15+AU21,0)</f>
        <v>66351759.138333336</v>
      </c>
      <c r="AV4" s="249"/>
      <c r="AW4" s="137">
        <f ca="1">IFERROR(AW6+AW15+AW21,0)</f>
        <v>51599504.729999997</v>
      </c>
      <c r="AX4" s="137">
        <f ca="1">IFERROR(AX6+AX15+AX21,0)</f>
        <v>430887536.19055551</v>
      </c>
      <c r="AY4" s="137">
        <f ca="1">IFERROR(AY6+AY15+AY21,0)</f>
        <v>443547652.06</v>
      </c>
      <c r="AZ4" s="137">
        <f ca="1">IFERROR(AZ6+AZ15+AZ21,0)</f>
        <v>14514569.158333335</v>
      </c>
      <c r="BA4" s="139"/>
      <c r="BB4" s="248">
        <f ca="1">IFERROR(BB6+BB15+BB21,0)</f>
        <v>81351759.13833335</v>
      </c>
      <c r="BC4" s="249"/>
      <c r="BD4" s="137">
        <f ca="1">IFERROR(BD6+BD15+BD21,0)</f>
        <v>61718782.219999999</v>
      </c>
      <c r="BE4" s="137">
        <f ca="1">IFERROR(BE6+BE15+BE21,0)</f>
        <v>512239295.32888883</v>
      </c>
      <c r="BF4" s="137">
        <f ca="1">IFERROR(BF6+BF15+BF21,0)</f>
        <v>505802684.28000003</v>
      </c>
      <c r="BG4" s="140">
        <f ca="1">IFERROR(BG6+BG15+BG21,0)</f>
        <v>19395291.668333344</v>
      </c>
      <c r="BH4" s="139"/>
      <c r="BI4" s="248">
        <f ca="1">IFERROR(BI6+BI15+BI21,0)</f>
        <v>99968425.805000007</v>
      </c>
      <c r="BJ4" s="249"/>
      <c r="BK4" s="137">
        <f ca="1">IFERROR(BK6+BK15+BK21,0)</f>
        <v>0</v>
      </c>
      <c r="BL4" s="137">
        <f ca="1">IFERROR(BL6+BL15+BL21,0)</f>
        <v>612207721.13388884</v>
      </c>
      <c r="BM4" s="137">
        <f ca="1">IFERROR(BM6+BM15+BM21,0)</f>
        <v>0</v>
      </c>
      <c r="BN4" s="140">
        <f ca="1">IFERROR(BN6+BN15+BN21,0)</f>
        <v>100266990.55500001</v>
      </c>
      <c r="BO4" s="139"/>
      <c r="BP4" s="248">
        <f ca="1">IFERROR(BP6+BP15+BP21,0)</f>
        <v>61018425.805</v>
      </c>
      <c r="BQ4" s="249"/>
      <c r="BR4" s="137">
        <f ca="1">IFERROR(BR6+BR15+BR21,0)</f>
        <v>0</v>
      </c>
      <c r="BS4" s="137">
        <f ca="1">IFERROR(BS6+BS15+BS21,0)</f>
        <v>673226146.93888903</v>
      </c>
      <c r="BT4" s="137">
        <f ca="1">IFERROR(BT6+BT15+BT21,0)</f>
        <v>0</v>
      </c>
      <c r="BU4" s="140">
        <f ca="1">IFERROR(BU6+BU15+BU21,0)</f>
        <v>61316990.555</v>
      </c>
      <c r="BV4" s="139"/>
      <c r="BW4" s="248">
        <f ca="1">IFERROR(BW6+BW15+BW21,0)</f>
        <v>61018425.805</v>
      </c>
      <c r="BX4" s="249"/>
      <c r="BY4" s="137">
        <f ca="1">IFERROR(BY6+BY15+BY21,0)</f>
        <v>0</v>
      </c>
      <c r="BZ4" s="137">
        <f ca="1">IFERROR(BZ6+BZ15+BZ21,0)</f>
        <v>734244572.74388885</v>
      </c>
      <c r="CA4" s="137">
        <f ca="1">IFERROR(CA6+CA15+CA21,0)</f>
        <v>0</v>
      </c>
      <c r="CB4" s="140">
        <f ca="1">IFERROR(CB6+CB15+CB21,0)</f>
        <v>61316990.555</v>
      </c>
      <c r="CC4" s="139"/>
      <c r="CD4" s="248">
        <f ca="1">IFERROR(CD6+CD15+CD21,0)</f>
        <v>69968425.805000007</v>
      </c>
      <c r="CE4" s="249"/>
      <c r="CF4" s="137">
        <f ca="1">IFERROR(CF6+CF15+CF21,0)</f>
        <v>0</v>
      </c>
      <c r="CG4" s="137">
        <f ca="1">IFERROR(CG6+CG15+CG21,0)</f>
        <v>804212998.54888892</v>
      </c>
      <c r="CH4" s="137">
        <f ca="1">IFERROR(CH6+CH15+CH21,0)</f>
        <v>0</v>
      </c>
      <c r="CI4" s="140">
        <f ca="1">IFERROR(CI6+CI15+CI21,0)</f>
        <v>70266990.555000007</v>
      </c>
      <c r="CJ4" s="67"/>
      <c r="CK4" s="67"/>
      <c r="CL4" s="67"/>
    </row>
    <row r="5" spans="1:90" ht="6.95" customHeight="1">
      <c r="A5" s="84"/>
      <c r="C5" s="80"/>
      <c r="D5" s="80"/>
      <c r="E5" s="70"/>
      <c r="F5" s="70"/>
      <c r="G5" s="73"/>
      <c r="H5" s="70"/>
      <c r="I5" s="70"/>
      <c r="J5" s="70"/>
      <c r="K5" s="70"/>
      <c r="L5" s="70"/>
      <c r="M5" s="70">
        <v>11</v>
      </c>
      <c r="N5" s="73"/>
      <c r="O5" s="70"/>
      <c r="P5" s="70"/>
      <c r="Q5" s="70"/>
      <c r="R5" s="70"/>
      <c r="S5" s="70"/>
      <c r="T5" s="70"/>
      <c r="U5" s="73"/>
      <c r="V5" s="70"/>
      <c r="W5" s="70"/>
      <c r="X5" s="70"/>
      <c r="Y5" s="70"/>
      <c r="Z5" s="70"/>
      <c r="AA5" s="70"/>
      <c r="AB5" s="73"/>
      <c r="AC5" s="70"/>
      <c r="AD5" s="70"/>
      <c r="AE5" s="70"/>
      <c r="AF5" s="70"/>
      <c r="AG5" s="70"/>
      <c r="AH5" s="70"/>
      <c r="AI5" s="73"/>
      <c r="AJ5" s="70"/>
      <c r="AK5" s="70"/>
      <c r="AL5" s="70"/>
      <c r="AM5" s="70"/>
      <c r="AN5" s="70"/>
      <c r="AO5" s="70"/>
      <c r="AP5" s="73"/>
      <c r="AQ5" s="70"/>
      <c r="AR5" s="70"/>
      <c r="AS5" s="70"/>
      <c r="AT5" s="70"/>
      <c r="AU5" s="70"/>
      <c r="AV5" s="70"/>
      <c r="AW5" s="73"/>
      <c r="AX5" s="70"/>
      <c r="AY5" s="70"/>
      <c r="AZ5" s="70"/>
      <c r="BA5" s="70"/>
      <c r="BB5" s="70"/>
      <c r="BC5" s="70"/>
      <c r="BD5" s="73"/>
      <c r="BE5" s="70"/>
      <c r="BF5" s="70"/>
      <c r="BG5" s="70"/>
      <c r="BH5" s="70"/>
      <c r="BI5" s="70"/>
      <c r="BJ5" s="70"/>
      <c r="BK5" s="73"/>
      <c r="BL5" s="70"/>
      <c r="BM5" s="70"/>
      <c r="BN5" s="70"/>
      <c r="BO5" s="70"/>
      <c r="BP5" s="70"/>
      <c r="BQ5" s="70"/>
      <c r="BR5" s="73"/>
      <c r="BS5" s="70"/>
      <c r="BT5" s="70"/>
      <c r="BU5" s="70"/>
      <c r="BV5" s="70"/>
      <c r="BW5" s="70"/>
      <c r="BX5" s="70"/>
      <c r="BY5" s="73"/>
      <c r="BZ5" s="70"/>
      <c r="CA5" s="70"/>
      <c r="CB5" s="70"/>
      <c r="CC5" s="70"/>
      <c r="CD5" s="70"/>
      <c r="CE5" s="70"/>
      <c r="CF5" s="73"/>
      <c r="CG5" s="70"/>
      <c r="CH5" s="70"/>
      <c r="CI5" s="70"/>
      <c r="CJ5" s="85"/>
      <c r="CK5" s="85"/>
      <c r="CL5" s="85"/>
    </row>
    <row r="6" spans="1:90">
      <c r="A6" s="254" t="s">
        <v>93</v>
      </c>
      <c r="B6" s="254"/>
      <c r="C6" s="212">
        <f ca="1">SUM(C7:C12)</f>
        <v>779222564</v>
      </c>
      <c r="D6" s="81"/>
      <c r="E6" s="227">
        <f ca="1">IFERROR(SUM(E7:F12),0)</f>
        <v>54551721.333333328</v>
      </c>
      <c r="F6" s="227"/>
      <c r="G6" s="190">
        <f ca="1">SUM(G7:G12)</f>
        <v>52716888</v>
      </c>
      <c r="H6" s="190">
        <f ca="1">SUM(H7:H12)</f>
        <v>54551721.333333328</v>
      </c>
      <c r="I6" s="190">
        <f ca="1">SUM(I7:I12)</f>
        <v>52716888</v>
      </c>
      <c r="J6" s="191">
        <f ca="1">IFERROR(E6-G6,0)</f>
        <v>1834833.3333333284</v>
      </c>
      <c r="K6" s="71"/>
      <c r="L6" s="227">
        <f ca="1">IFERROR(SUM(L7:M12),0)</f>
        <v>54551721.333333328</v>
      </c>
      <c r="M6" s="227"/>
      <c r="N6" s="190">
        <f ca="1">SUM(N7:N12)</f>
        <v>62631835</v>
      </c>
      <c r="O6" s="190">
        <f ca="1">SUM(O7:O12)</f>
        <v>109103442.66666666</v>
      </c>
      <c r="P6" s="190">
        <f ca="1">SUM(P7:P12)</f>
        <v>115348723</v>
      </c>
      <c r="Q6" s="191">
        <f ca="1">IFERROR(L6-N6,0)</f>
        <v>-8080113.6666666716</v>
      </c>
      <c r="R6" s="71"/>
      <c r="S6" s="227">
        <f ca="1">IFERROR(SUM(S7:T12),0)</f>
        <v>59516888</v>
      </c>
      <c r="T6" s="227"/>
      <c r="U6" s="190">
        <f ca="1">SUM(U7:U12)</f>
        <v>48181755</v>
      </c>
      <c r="V6" s="190">
        <f ca="1">SUM(V7:V12)</f>
        <v>168620330.66666669</v>
      </c>
      <c r="W6" s="190">
        <f ca="1">SUM(W7:W12)</f>
        <v>163530478</v>
      </c>
      <c r="X6" s="191">
        <f ca="1">IFERROR(S6-U6,0)</f>
        <v>11335133</v>
      </c>
      <c r="Y6" s="71"/>
      <c r="Z6" s="227">
        <f ca="1">IFERROR(SUM(Z7:AA12),0)</f>
        <v>62772443.555555552</v>
      </c>
      <c r="AA6" s="227"/>
      <c r="AB6" s="190">
        <f ca="1">SUM(AB7:AB12)</f>
        <v>72896438</v>
      </c>
      <c r="AC6" s="190">
        <f ca="1">SUM(AC7:AC12)</f>
        <v>231392774.22222224</v>
      </c>
      <c r="AD6" s="190">
        <f ca="1">SUM(AD7:AD12)</f>
        <v>236426916</v>
      </c>
      <c r="AE6" s="191">
        <f ca="1">IFERROR(Z6-AB6,0)</f>
        <v>-10123994.444444448</v>
      </c>
      <c r="AF6" s="71"/>
      <c r="AG6" s="227">
        <f ca="1">IFERROR(SUM(AG7:AH12),0)</f>
        <v>62966888</v>
      </c>
      <c r="AH6" s="227"/>
      <c r="AI6" s="190">
        <f ca="1">SUM(AI7:AI12)</f>
        <v>69882317</v>
      </c>
      <c r="AJ6" s="190">
        <f ca="1">SUM(AJ7:AJ12)</f>
        <v>294359662.22222221</v>
      </c>
      <c r="AK6" s="190">
        <f ca="1">SUM(AK7:AK12)</f>
        <v>306309233</v>
      </c>
      <c r="AL6" s="191">
        <f ca="1">IFERROR(AG6-AI6,0)</f>
        <v>-6915429</v>
      </c>
      <c r="AM6" s="71"/>
      <c r="AN6" s="227">
        <f ca="1">IFERROR(SUM(AN7:AO12),0)</f>
        <v>70166888</v>
      </c>
      <c r="AO6" s="227"/>
      <c r="AP6" s="190">
        <f ca="1">SUM(AP7:AP12)</f>
        <v>83302049</v>
      </c>
      <c r="AQ6" s="190">
        <f ca="1">SUM(AQ7:AQ12)</f>
        <v>364526550.22222221</v>
      </c>
      <c r="AR6" s="190">
        <f ca="1">SUM(AR7:AR12)</f>
        <v>389611282</v>
      </c>
      <c r="AS6" s="191">
        <f ca="1">IFERROR(AN6-AP6,0)</f>
        <v>-13135161</v>
      </c>
      <c r="AT6" s="71"/>
      <c r="AU6" s="227">
        <f ca="1">IFERROR(SUM(AU7:AV12),0)</f>
        <v>66350221.333333336</v>
      </c>
      <c r="AV6" s="227"/>
      <c r="AW6" s="190">
        <f ca="1">SUM(AW7:AW12)</f>
        <v>51598585</v>
      </c>
      <c r="AX6" s="190">
        <f ca="1">SUM(AX7:AX12)</f>
        <v>430876771.55555552</v>
      </c>
      <c r="AY6" s="190">
        <f ca="1">SUM(AY7:AY12)</f>
        <v>441209867</v>
      </c>
      <c r="AZ6" s="191">
        <f ca="1">IFERROR(AU6-AW6,0)</f>
        <v>14751636.333333336</v>
      </c>
      <c r="BA6" s="144"/>
      <c r="BB6" s="227">
        <f ca="1">IFERROR(SUM(BB7:BC12),0)</f>
        <v>81350221.333333343</v>
      </c>
      <c r="BC6" s="227"/>
      <c r="BD6" s="190">
        <f t="shared" ref="BD6:BD12" ca="1" si="31">IFERROR(BF6-AY6,0)</f>
        <v>61717237</v>
      </c>
      <c r="BE6" s="190">
        <f ca="1">SUM(BE7:BE12)</f>
        <v>512226992.88888884</v>
      </c>
      <c r="BF6" s="190">
        <f ca="1">SUM(BF7:BF12)</f>
        <v>502927104</v>
      </c>
      <c r="BG6" s="191">
        <f ca="1">IFERROR(BB6-BD6,0)</f>
        <v>19632984.333333343</v>
      </c>
      <c r="BH6" s="144"/>
      <c r="BI6" s="227">
        <f ca="1">IFERROR(SUM(BI7:BJ12),0)</f>
        <v>99966888</v>
      </c>
      <c r="BJ6" s="227"/>
      <c r="BK6" s="190">
        <f ca="1">IFERROR(IF(BM6=0,0,BM6-BF6),0)</f>
        <v>0</v>
      </c>
      <c r="BL6" s="190">
        <f ca="1">SUM(BL7:BL12)</f>
        <v>612193880.88888884</v>
      </c>
      <c r="BM6" s="190">
        <f ca="1">SUM(BM7:BM12)</f>
        <v>0</v>
      </c>
      <c r="BN6" s="191">
        <f ca="1">IFERROR(BI6-BK6,0)</f>
        <v>99966888</v>
      </c>
      <c r="BO6" s="144"/>
      <c r="BP6" s="227">
        <f ca="1">IFERROR(SUM(BP7:BQ12),0)</f>
        <v>61016888</v>
      </c>
      <c r="BQ6" s="227"/>
      <c r="BR6" s="190">
        <f t="shared" ref="BR6:BR12" ca="1" si="32">IFERROR(BT6-BM6,0)</f>
        <v>0</v>
      </c>
      <c r="BS6" s="190">
        <f ca="1">SUM(BS7:BS12)</f>
        <v>673210768.88888896</v>
      </c>
      <c r="BT6" s="190">
        <f ca="1">SUM(BT7:BT12)</f>
        <v>0</v>
      </c>
      <c r="BU6" s="191">
        <f ca="1">IFERROR(BP6-BR6,0)</f>
        <v>61016888</v>
      </c>
      <c r="BV6" s="144"/>
      <c r="BW6" s="227">
        <f ca="1">IFERROR(SUM(BW7:BX12),0)</f>
        <v>61016888</v>
      </c>
      <c r="BX6" s="227"/>
      <c r="BY6" s="190">
        <f t="shared" ref="BY6:BY12" ca="1" si="33">IFERROR(CA6-BT6,0)</f>
        <v>0</v>
      </c>
      <c r="BZ6" s="190">
        <f ca="1">SUM(BZ7:BZ12)</f>
        <v>734227656.88888896</v>
      </c>
      <c r="CA6" s="190">
        <f ca="1">SUM(CA7:CA12)</f>
        <v>0</v>
      </c>
      <c r="CB6" s="191">
        <f ca="1">IFERROR(BW6-BY6,0)</f>
        <v>61016888</v>
      </c>
      <c r="CC6" s="144"/>
      <c r="CD6" s="227">
        <f ca="1">IFERROR(SUM(CD7:CE12),0)</f>
        <v>69966888</v>
      </c>
      <c r="CE6" s="227"/>
      <c r="CF6" s="190">
        <f t="shared" ref="CF6:CF12" ca="1" si="34">IFERROR(CH6-CA6,0)</f>
        <v>0</v>
      </c>
      <c r="CG6" s="190">
        <f ca="1">SUM(CG7:CG12)</f>
        <v>804194544.88888896</v>
      </c>
      <c r="CH6" s="190">
        <f ca="1">SUM(CH7:CH12)</f>
        <v>0</v>
      </c>
      <c r="CI6" s="191">
        <f ca="1">IFERROR(CD6-CF6,0)</f>
        <v>69966888</v>
      </c>
    </row>
    <row r="7" spans="1:90">
      <c r="A7" s="133" t="s">
        <v>119</v>
      </c>
      <c r="B7" s="62">
        <v>41500501</v>
      </c>
      <c r="C7" s="197">
        <f ca="1">IFERROR(IFERROR(VLOOKUP(TEXT($B7,0),INDIRECT("'Balance a "&amp;LEFT(AN$1,3)&amp;"'!$B$3:$G$300"),6,0)*-1,VLOOKUP(VALUE($B7),INDIRECT("'Balance a "&amp;LEFT(AN$1,3)&amp;"'!$B$3:$G$300"),6,0)*-1),0)*2</f>
        <v>594336278</v>
      </c>
      <c r="D7" s="78"/>
      <c r="E7" s="92">
        <f ca="1">+G7</f>
        <v>38796294</v>
      </c>
      <c r="F7" s="92"/>
      <c r="G7" s="91">
        <f t="shared" ref="G7:G12" ca="1" si="35">IFERROR(I7,0)</f>
        <v>38796294</v>
      </c>
      <c r="H7" s="92">
        <f t="shared" ref="H7:H12" ca="1" si="36">IFERROR(E7,0)</f>
        <v>38796294</v>
      </c>
      <c r="I7" s="93">
        <f t="shared" ref="I7:I11" ca="1" si="37">IFERROR(IFERROR(VLOOKUP(TEXT($B7,0),INDIRECT("'Balance a "&amp;LEFT(E$1,3)&amp;"'!$B$3:$G$300"),5,0),VLOOKUP(VALUE($B7),INDIRECT("'Balance a "&amp;LEFT(E$1,3)&amp;"'!$B$3:$G$300"),5,0)),0)</f>
        <v>38796294</v>
      </c>
      <c r="J7" s="193">
        <f t="shared" ref="J7:J12" ca="1" si="38">IFERROR(E7-G7,0)</f>
        <v>0</v>
      </c>
      <c r="K7" s="70"/>
      <c r="L7" s="92">
        <f ca="1">E7</f>
        <v>38796294</v>
      </c>
      <c r="M7" s="92"/>
      <c r="N7" s="91">
        <f ca="1">IFERROR(P7-I7,0)</f>
        <v>48709735</v>
      </c>
      <c r="O7" s="92">
        <f ca="1">SUM(E7:F7,L7:M7)</f>
        <v>77592588</v>
      </c>
      <c r="P7" s="93">
        <f ca="1">IFERROR(IFERROR(VLOOKUP(TEXT($B7,0),INDIRECT("'Balance a "&amp;LEFT(L$1,3)&amp;"'!$B$3:$G$300"),5,0),VLOOKUP(VALUE($B7),INDIRECT("'Balance a "&amp;LEFT(L$1,3)&amp;"'!$B$3:$G$300"),5,0)),0)</f>
        <v>87506029</v>
      </c>
      <c r="Q7" s="193">
        <f ca="1">IFERROR(L7-N7,0)</f>
        <v>-9913441</v>
      </c>
      <c r="R7" s="70"/>
      <c r="S7" s="92">
        <f ca="1">L7</f>
        <v>38796294</v>
      </c>
      <c r="T7" s="92"/>
      <c r="U7" s="91">
        <f ca="1">IFERROR(W7-P7,0)</f>
        <v>37759655</v>
      </c>
      <c r="V7" s="92">
        <f ca="1">SUM(E7:F7,L7:M7,S7:T7)</f>
        <v>116388882</v>
      </c>
      <c r="W7" s="93">
        <f t="shared" ref="W7:W11" ca="1" si="39">IFERROR(IFERROR(VLOOKUP(TEXT($B7,0),INDIRECT("'Balance a "&amp;LEFT(S$1,3)&amp;"'!$B$3:$G$300"),5,0),VLOOKUP(VALUE($B7),INDIRECT("'Balance a "&amp;LEFT(S$1,3)&amp;"'!$B$3:$G$300"),5,0)),0)</f>
        <v>125265684</v>
      </c>
      <c r="X7" s="193">
        <f ca="1">IFERROR(S7-U7,0)</f>
        <v>1036639</v>
      </c>
      <c r="Y7" s="70"/>
      <c r="Z7" s="92">
        <f ca="1">+S7</f>
        <v>38796294</v>
      </c>
      <c r="AA7" s="92">
        <v>4000000</v>
      </c>
      <c r="AB7" s="91">
        <f ca="1">IFERROR(AD7-W7,0)</f>
        <v>50659655</v>
      </c>
      <c r="AC7" s="92">
        <f ca="1">SUM(E7:F7,L7:M7,S7:T7,Z7:AA7)</f>
        <v>159185176</v>
      </c>
      <c r="AD7" s="93">
        <f t="shared" ref="AD7:AD11" ca="1" si="40">IFERROR(IFERROR(VLOOKUP(TEXT($B7,0),INDIRECT("'Balance a "&amp;LEFT(Z$1,3)&amp;"'!$B$3:$G$300"),5,0),VLOOKUP(VALUE($B7),INDIRECT("'Balance a "&amp;LEFT(Z$1,3)&amp;"'!$B$3:$G$300"),5,0)),0)</f>
        <v>175925339</v>
      </c>
      <c r="AE7" s="193">
        <f ca="1">IFERROR(Z7-AB7,0)</f>
        <v>-11863361</v>
      </c>
      <c r="AF7" s="70"/>
      <c r="AG7" s="92">
        <f ca="1">Z7</f>
        <v>38796294</v>
      </c>
      <c r="AH7" s="92">
        <f>+AA7</f>
        <v>4000000</v>
      </c>
      <c r="AI7" s="91">
        <f ca="1">IFERROR(AK7-AD7,0)</f>
        <v>54454534</v>
      </c>
      <c r="AJ7" s="92">
        <f ca="1">SUM(E7:F7,L7:M7,S7:T7,Z7:AA7,AG7:AH7)</f>
        <v>201981470</v>
      </c>
      <c r="AK7" s="93">
        <f t="shared" ref="AK7:AK11" ca="1" si="41">IFERROR(IFERROR(VLOOKUP(TEXT($B7,0),INDIRECT("'Balance a "&amp;LEFT(AG$1,3)&amp;"'!$B$3:$G$300"),5,0),VLOOKUP(VALUE($B7),INDIRECT("'Balance a "&amp;LEFT(AG$1,3)&amp;"'!$B$3:$G$300"),5,0)),0)</f>
        <v>230379873</v>
      </c>
      <c r="AL7" s="193">
        <f ca="1">IFERROR(AG7-AI7,0)</f>
        <v>-15658240</v>
      </c>
      <c r="AM7" s="70"/>
      <c r="AN7" s="92">
        <f ca="1">AG7</f>
        <v>38796294</v>
      </c>
      <c r="AO7" s="92">
        <f>+AH7</f>
        <v>4000000</v>
      </c>
      <c r="AP7" s="91">
        <f ca="1">IFERROR(AR7-AK7,0)</f>
        <v>66788266</v>
      </c>
      <c r="AQ7" s="92">
        <f ca="1">SUM(E7:F7,L7:M7,S7:T7,Z7:AA7,AG7:AH7,AN7:AO7)</f>
        <v>244777764</v>
      </c>
      <c r="AR7" s="93">
        <f t="shared" ref="AR7:AR11" ca="1" si="42">IFERROR(IFERROR(VLOOKUP(TEXT($B7,0),INDIRECT("'Balance a "&amp;LEFT(AN$1,3)&amp;"'!$B$3:$G$300"),5,0),VLOOKUP(VALUE($B7),INDIRECT("'Balance a "&amp;LEFT(AN$1,3)&amp;"'!$B$3:$G$300"),5,0)),0)</f>
        <v>297168139</v>
      </c>
      <c r="AS7" s="193">
        <f ca="1">IFERROR(AN7-AP7,0)</f>
        <v>-27991972</v>
      </c>
      <c r="AT7" s="70"/>
      <c r="AU7" s="92">
        <f ca="1">AN7</f>
        <v>38796294</v>
      </c>
      <c r="AV7" s="142">
        <f>+AO7</f>
        <v>4000000</v>
      </c>
      <c r="AW7" s="141">
        <f ca="1">IFERROR(AY7-AR7,0)</f>
        <v>39150802</v>
      </c>
      <c r="AX7" s="92">
        <f ca="1">SUM(E7:F7,L7:M7,S7:T7,Z7:AA7,AG7:AH7,AN7:AO7,AU7:AV7)</f>
        <v>287574058</v>
      </c>
      <c r="AY7" s="143">
        <f t="shared" ref="AY7:AY11" ca="1" si="43">IFERROR(IFERROR(VLOOKUP(TEXT($B7,0),INDIRECT("'Balance a "&amp;LEFT(AU$1,3)&amp;"'!$B$3:$G$300"),6,0)*-1,VLOOKUP(VALUE($B7),INDIRECT("'Balance a "&amp;LEFT(AU$1,3)&amp;"'!$B$3:$G$300"),6,0)*-1),0)</f>
        <v>336318941</v>
      </c>
      <c r="AZ7" s="192">
        <f t="shared" ref="AZ7:AZ12" ca="1" si="44">IFERROR(AU7+AV7-AW7,0)</f>
        <v>3645492</v>
      </c>
      <c r="BA7" s="144"/>
      <c r="BB7" s="142">
        <f ca="1">AU7</f>
        <v>38796294</v>
      </c>
      <c r="BC7" s="142">
        <f>+AV7</f>
        <v>4000000</v>
      </c>
      <c r="BD7" s="141">
        <f t="shared" ca="1" si="31"/>
        <v>32522731</v>
      </c>
      <c r="BE7" s="92">
        <f ca="1">SUM(E7:F7,L7:M7,S7:T7,Z7:AA7,AG7:AH7,AN7:AO7,AU7:AV7,BB7:BC7)</f>
        <v>330370352</v>
      </c>
      <c r="BF7" s="143">
        <f t="shared" ref="BF7:BF11" ca="1" si="45">IFERROR(IFERROR(VLOOKUP(TEXT($B7,0),INDIRECT("'Balance a "&amp;LEFT(BB$1,3)&amp;"'!$B$3:$G$300"),6,0)*-1,VLOOKUP(VALUE($B7),INDIRECT("'Balance a "&amp;LEFT(BB$1,3)&amp;"'!$B$3:$G$300"),6,0)*-1),0)</f>
        <v>368841672</v>
      </c>
      <c r="BG7" s="192">
        <f t="shared" ref="BG7:BG12" ca="1" si="46">IFERROR(BB7+BC7-BD7,0)</f>
        <v>10273563</v>
      </c>
      <c r="BH7" s="144"/>
      <c r="BI7" s="142">
        <f ca="1">BB7</f>
        <v>38796294</v>
      </c>
      <c r="BJ7" s="142">
        <f>+BC7</f>
        <v>4000000</v>
      </c>
      <c r="BK7" s="141">
        <f ca="1">IFERROR(IF(BM7=0,0,BM7-BF7),0)</f>
        <v>0</v>
      </c>
      <c r="BL7" s="92">
        <f ca="1">SUM(E7:F7,L7:M7,S7:T7,Z7:AA7,AG7:AH7,AN7:AO7,AU7:AV7,BB7:BC7,BI7:BJ7)</f>
        <v>373166646</v>
      </c>
      <c r="BM7" s="143">
        <f t="shared" ref="BM7:BM11" ca="1" si="47">IFERROR(IFERROR(VLOOKUP(TEXT($B7,0),INDIRECT("'Balance a "&amp;LEFT(BI$1,3)&amp;"'!$B$3:$G$300"),6,0)*-1,VLOOKUP(VALUE($B7),INDIRECT("'Balance a "&amp;LEFT(BI$1,3)&amp;"'!$B$3:$G$300"),6,0)*-1),0)</f>
        <v>0</v>
      </c>
      <c r="BN7" s="192">
        <f t="shared" ref="BN7:BN12" ca="1" si="48">IFERROR(BI7+BJ7-BK7,0)</f>
        <v>42796294</v>
      </c>
      <c r="BO7" s="144"/>
      <c r="BP7" s="142">
        <f ca="1">BI7</f>
        <v>38796294</v>
      </c>
      <c r="BQ7" s="142">
        <f>+BJ7</f>
        <v>4000000</v>
      </c>
      <c r="BR7" s="141">
        <f t="shared" ca="1" si="32"/>
        <v>0</v>
      </c>
      <c r="BS7" s="92">
        <f ca="1">SUM(E7:F7,L7:M7,S7:T7,Z7:AA7,AG7:AH7,AN7:AO7,AU7:AV7,BB7:BC7,BI7:BJ7,BP7:BQ7)</f>
        <v>415962940</v>
      </c>
      <c r="BT7" s="143">
        <f t="shared" ref="BT7:BT11" ca="1" si="49">IFERROR(IFERROR(VLOOKUP(TEXT($B7,0),INDIRECT("'Balance a "&amp;LEFT(BP$1,3)&amp;"'!$B$3:$G$300"),6,0)*-1,VLOOKUP(VALUE($B7),INDIRECT("'Balance a "&amp;LEFT(BP$1,3)&amp;"'!$B$3:$G$300"),6,0)*-1),0)</f>
        <v>0</v>
      </c>
      <c r="BU7" s="192">
        <f t="shared" ref="BU7:BU12" ca="1" si="50">IFERROR(BP7+BQ7-BR7,0)</f>
        <v>42796294</v>
      </c>
      <c r="BV7" s="144"/>
      <c r="BW7" s="142">
        <f ca="1">BP7</f>
        <v>38796294</v>
      </c>
      <c r="BX7" s="142">
        <f>+BQ7</f>
        <v>4000000</v>
      </c>
      <c r="BY7" s="141">
        <f t="shared" ca="1" si="33"/>
        <v>0</v>
      </c>
      <c r="BZ7" s="92">
        <f ca="1">SUM(E7:F7,L7:M7,S7:T7,Z7:AA7,AG7:AH7,AN7:AO7,AU7:AV7,BB7:BC7,BI7:BJ7,BP7:BQ7,BW7:BX7)</f>
        <v>458759234</v>
      </c>
      <c r="CA7" s="143">
        <f t="shared" ref="CA7:CA11" ca="1" si="51">IFERROR(IFERROR(VLOOKUP(TEXT($B7,0),INDIRECT("'Balance a "&amp;LEFT(BW$1,3)&amp;"'!$B$3:$G$300"),6,0)*-1,VLOOKUP(VALUE($B7),INDIRECT("'Balance a "&amp;LEFT(BW$1,3)&amp;"'!$B$3:$G$300"),6,0)*-1),0)</f>
        <v>0</v>
      </c>
      <c r="CB7" s="192">
        <f t="shared" ref="CB7:CB12" ca="1" si="52">IFERROR(BW7+BX7-BY7,0)</f>
        <v>42796294</v>
      </c>
      <c r="CC7" s="144"/>
      <c r="CD7" s="142">
        <f ca="1">BW7</f>
        <v>38796294</v>
      </c>
      <c r="CE7" s="142">
        <f>+BX7</f>
        <v>4000000</v>
      </c>
      <c r="CF7" s="141">
        <f t="shared" ca="1" si="34"/>
        <v>0</v>
      </c>
      <c r="CG7" s="92">
        <f ca="1">SUM(E7:F7,L7:M7,S7:T7,Z7:AA7,AG7:AH7,AN7:AO7,AU7:AV7,BB7:BC7,BI7:BJ7,BP7:BQ7,BW7:BX7,CD7:CE7)</f>
        <v>501555528</v>
      </c>
      <c r="CH7" s="143">
        <f t="shared" ref="CH7:CH11" ca="1" si="53">IFERROR(IFERROR(VLOOKUP(TEXT($B7,0),INDIRECT("'Balance a "&amp;LEFT(CD$1,3)&amp;"'!$B$3:$G$300"),6,0)*-1,VLOOKUP(VALUE($B7),INDIRECT("'Balance a "&amp;LEFT(CD$1,3)&amp;"'!$B$3:$G$300"),6,0)*-1),0)</f>
        <v>0</v>
      </c>
      <c r="CI7" s="192">
        <f t="shared" ref="CI7:CI12" ca="1" si="54">IFERROR(CD7+CE7-CF7,0)</f>
        <v>42796294</v>
      </c>
    </row>
    <row r="8" spans="1:90">
      <c r="A8" s="133" t="s">
        <v>120</v>
      </c>
      <c r="B8" s="62">
        <v>41500502</v>
      </c>
      <c r="C8" s="197">
        <f ca="1">IFERROR(IFERROR(VLOOKUP(TEXT($B8,0),INDIRECT("'Balance a "&amp;LEFT(AN$1,3)&amp;"'!$B$3:$G$300"),6,0)*-1,VLOOKUP(VALUE($B8),INDIRECT("'Balance a "&amp;LEFT(AN$1,3)&amp;"'!$B$3:$G$300"),6,0)*-1),0)*2</f>
        <v>162868286</v>
      </c>
      <c r="D8" s="78"/>
      <c r="E8" s="92">
        <f ca="1">+G8</f>
        <v>13920594</v>
      </c>
      <c r="F8" s="92"/>
      <c r="G8" s="91">
        <f t="shared" ca="1" si="35"/>
        <v>13920594</v>
      </c>
      <c r="H8" s="92">
        <f t="shared" ca="1" si="36"/>
        <v>13920594</v>
      </c>
      <c r="I8" s="93">
        <f t="shared" ca="1" si="37"/>
        <v>13920594</v>
      </c>
      <c r="J8" s="193">
        <f t="shared" ca="1" si="38"/>
        <v>0</v>
      </c>
      <c r="K8" s="70"/>
      <c r="L8" s="92">
        <f ca="1">E8</f>
        <v>13920594</v>
      </c>
      <c r="M8" s="92"/>
      <c r="N8" s="91">
        <f t="shared" ref="N8:N12" ca="1" si="55">IFERROR(P8-I8,0)</f>
        <v>13922100</v>
      </c>
      <c r="O8" s="92">
        <f t="shared" ref="O8:O12" ca="1" si="56">SUM(E8:F8,L8:M8)</f>
        <v>27841188</v>
      </c>
      <c r="P8" s="93">
        <f t="shared" ref="P8:P11" ca="1" si="57">IFERROR(IFERROR(VLOOKUP(TEXT($B8,0),INDIRECT("'Balance a "&amp;LEFT(L$1,3)&amp;"'!$B$3:$G$300"),5,0),VLOOKUP(VALUE($B8),INDIRECT("'Balance a "&amp;LEFT(L$1,3)&amp;"'!$B$3:$G$300"),5,0)),0)</f>
        <v>27842694</v>
      </c>
      <c r="Q8" s="193">
        <f t="shared" ref="Q8:Q12" ca="1" si="58">IFERROR(L8-N8,0)</f>
        <v>-1506</v>
      </c>
      <c r="R8" s="70"/>
      <c r="S8" s="92">
        <f ca="1">+L8</f>
        <v>13920594</v>
      </c>
      <c r="T8" s="92"/>
      <c r="U8" s="91">
        <f t="shared" ref="U8:U12" ca="1" si="59">IFERROR(W8-P8,0)</f>
        <v>10422100</v>
      </c>
      <c r="V8" s="92">
        <f t="shared" ref="V8:V12" ca="1" si="60">SUM(E8:F8,L8:M8,S8:T8)</f>
        <v>41761782</v>
      </c>
      <c r="W8" s="93">
        <f t="shared" ca="1" si="39"/>
        <v>38264794</v>
      </c>
      <c r="X8" s="193">
        <f t="shared" ref="X8:X12" ca="1" si="61">IFERROR(S8-U8,0)</f>
        <v>3498494</v>
      </c>
      <c r="Y8" s="70"/>
      <c r="Z8" s="92">
        <f ca="1">S8</f>
        <v>13920594</v>
      </c>
      <c r="AA8" s="92">
        <v>4000000</v>
      </c>
      <c r="AB8" s="91">
        <f t="shared" ref="AB8:AB12" ca="1" si="62">IFERROR(AD8-W8,0)</f>
        <v>14227783</v>
      </c>
      <c r="AC8" s="92">
        <f t="shared" ref="AC8:AC12" ca="1" si="63">SUM(E8:F8,L8:M8,S8:T8,Z8:AA8)</f>
        <v>59682376</v>
      </c>
      <c r="AD8" s="93">
        <f t="shared" ca="1" si="40"/>
        <v>52492577</v>
      </c>
      <c r="AE8" s="193">
        <f t="shared" ref="AE8:AE12" ca="1" si="64">IFERROR(Z8-AB8,0)</f>
        <v>-307189</v>
      </c>
      <c r="AF8" s="70"/>
      <c r="AG8" s="92">
        <f t="shared" ref="AG8:AG9" ca="1" si="65">Z8</f>
        <v>13920594</v>
      </c>
      <c r="AH8" s="92">
        <f>+AA8</f>
        <v>4000000</v>
      </c>
      <c r="AI8" s="91">
        <f t="shared" ref="AI8:AI12" ca="1" si="66">IFERROR(AK8-AD8,0)</f>
        <v>14227783</v>
      </c>
      <c r="AJ8" s="92">
        <f t="shared" ref="AJ8:AJ12" ca="1" si="67">SUM(E8:F8,L8:M8,S8:T8,Z8:AA8,AG8:AH8)</f>
        <v>77602970</v>
      </c>
      <c r="AK8" s="93">
        <f t="shared" ca="1" si="41"/>
        <v>66720360</v>
      </c>
      <c r="AL8" s="193">
        <f t="shared" ref="AL8:AL12" ca="1" si="68">IFERROR(AG8-AI8,0)</f>
        <v>-307189</v>
      </c>
      <c r="AM8" s="70"/>
      <c r="AN8" s="92">
        <f t="shared" ref="AN8:AN9" ca="1" si="69">AG8</f>
        <v>13920594</v>
      </c>
      <c r="AO8" s="92">
        <f>+AH8</f>
        <v>4000000</v>
      </c>
      <c r="AP8" s="91">
        <f t="shared" ref="AP8:AP12" ca="1" si="70">IFERROR(AR8-AK8,0)</f>
        <v>14713783</v>
      </c>
      <c r="AQ8" s="92">
        <f t="shared" ref="AQ8:AQ12" ca="1" si="71">SUM(E8:F8,L8:M8,S8:T8,Z8:AA8,AG8:AH8,AN8:AO8)</f>
        <v>95523564</v>
      </c>
      <c r="AR8" s="93">
        <f ca="1">IFERROR(IFERROR(VLOOKUP(TEXT($B8,0),INDIRECT("'Balance a "&amp;LEFT(AN$1,3)&amp;"'!$B$3:$G$300"),5,0),VLOOKUP(VALUE($B8),INDIRECT("'Balance a "&amp;LEFT(AN$1,3)&amp;"'!$B$3:$G$300"),5,0)),0)</f>
        <v>81434143</v>
      </c>
      <c r="AS8" s="193">
        <f t="shared" ref="AS8:AS12" ca="1" si="72">IFERROR(AN8-AP8,0)</f>
        <v>-793189</v>
      </c>
      <c r="AT8" s="70"/>
      <c r="AU8" s="92">
        <f t="shared" ref="AU8:AU9" ca="1" si="73">AN8</f>
        <v>13920594</v>
      </c>
      <c r="AV8" s="142">
        <f>+AO8</f>
        <v>4000000</v>
      </c>
      <c r="AW8" s="141">
        <f t="shared" ref="AW8:AW13" ca="1" si="74">IFERROR(AY8-AR8,0)</f>
        <v>12447783</v>
      </c>
      <c r="AX8" s="92">
        <f t="shared" ref="AX8:AX11" ca="1" si="75">SUM(E8:F8,L8:M8,S8:T8,Z8:AA8,AG8:AH8,AN8:AO8,AU8:AV8)</f>
        <v>113444158</v>
      </c>
      <c r="AY8" s="143">
        <f t="shared" ca="1" si="43"/>
        <v>93881926</v>
      </c>
      <c r="AZ8" s="192">
        <f t="shared" ca="1" si="44"/>
        <v>5472811</v>
      </c>
      <c r="BA8" s="144"/>
      <c r="BB8" s="142">
        <f t="shared" ref="BB8:BB10" ca="1" si="76">AU8</f>
        <v>13920594</v>
      </c>
      <c r="BC8" s="142">
        <f>+AV8</f>
        <v>4000000</v>
      </c>
      <c r="BD8" s="141">
        <f t="shared" ca="1" si="31"/>
        <v>12447783</v>
      </c>
      <c r="BE8" s="92">
        <f t="shared" ref="BE8:BE12" ca="1" si="77">SUM(E8:F8,L8:M8,S8:T8,Z8:AA8,AG8:AH8,AN8:AO8,AU8:AV8,BB8:BC8)</f>
        <v>131364752</v>
      </c>
      <c r="BF8" s="143">
        <f t="shared" ca="1" si="45"/>
        <v>106329709</v>
      </c>
      <c r="BG8" s="192">
        <f t="shared" ca="1" si="46"/>
        <v>5472811</v>
      </c>
      <c r="BH8" s="144"/>
      <c r="BI8" s="142">
        <f t="shared" ref="BI8:BI9" ca="1" si="78">BB8</f>
        <v>13920594</v>
      </c>
      <c r="BJ8" s="142">
        <f>+BC8</f>
        <v>4000000</v>
      </c>
      <c r="BK8" s="141">
        <f t="shared" ref="BK8:BK13" ca="1" si="79">IFERROR(IF(BM8=0,0,BM8-BF8),0)</f>
        <v>0</v>
      </c>
      <c r="BL8" s="92">
        <f t="shared" ref="BL8:BL12" ca="1" si="80">SUM(E8:F8,L8:M8,S8:T8,Z8:AA8,AG8:AH8,AN8:AO8,AU8:AV8,BB8:BC8,BI8:BJ8)</f>
        <v>149285346</v>
      </c>
      <c r="BM8" s="143">
        <f t="shared" ca="1" si="47"/>
        <v>0</v>
      </c>
      <c r="BN8" s="192">
        <f t="shared" ca="1" si="48"/>
        <v>17920594</v>
      </c>
      <c r="BO8" s="144"/>
      <c r="BP8" s="142">
        <f t="shared" ref="BP8:BP9" ca="1" si="81">BI8</f>
        <v>13920594</v>
      </c>
      <c r="BQ8" s="142">
        <f>+BJ8</f>
        <v>4000000</v>
      </c>
      <c r="BR8" s="141">
        <f t="shared" ca="1" si="32"/>
        <v>0</v>
      </c>
      <c r="BS8" s="92">
        <f t="shared" ref="BS8:BS12" ca="1" si="82">SUM(E8:F8,L8:M8,S8:T8,Z8:AA8,AG8:AH8,AN8:AO8,AU8:AV8,BB8:BC8,BI8:BJ8,BP8:BQ8)</f>
        <v>167205940</v>
      </c>
      <c r="BT8" s="143">
        <f t="shared" ca="1" si="49"/>
        <v>0</v>
      </c>
      <c r="BU8" s="192">
        <f t="shared" ca="1" si="50"/>
        <v>17920594</v>
      </c>
      <c r="BV8" s="144"/>
      <c r="BW8" s="142">
        <f t="shared" ref="BW8" ca="1" si="83">BP8</f>
        <v>13920594</v>
      </c>
      <c r="BX8" s="142">
        <f>+BQ8</f>
        <v>4000000</v>
      </c>
      <c r="BY8" s="141">
        <f t="shared" ca="1" si="33"/>
        <v>0</v>
      </c>
      <c r="BZ8" s="92">
        <f t="shared" ref="BZ8:BZ12" ca="1" si="84">SUM(E8:F8,L8:M8,S8:T8,Z8:AA8,AG8:AH8,AN8:AO8,AU8:AV8,BB8:BC8,BI8:BJ8,BP8:BQ8,BW8:BX8)</f>
        <v>185126534</v>
      </c>
      <c r="CA8" s="143">
        <f t="shared" ca="1" si="51"/>
        <v>0</v>
      </c>
      <c r="CB8" s="192">
        <f t="shared" ca="1" si="52"/>
        <v>17920594</v>
      </c>
      <c r="CC8" s="144"/>
      <c r="CD8" s="142">
        <f t="shared" ref="CD8:CD11" ca="1" si="85">BW8</f>
        <v>13920594</v>
      </c>
      <c r="CE8" s="142">
        <f>+BX8</f>
        <v>4000000</v>
      </c>
      <c r="CF8" s="141">
        <f t="shared" ca="1" si="34"/>
        <v>0</v>
      </c>
      <c r="CG8" s="92">
        <f t="shared" ref="CG8:CG12" ca="1" si="86">SUM(E8:F8,L8:M8,S8:T8,Z8:AA8,AG8:AH8,AN8:AO8,AU8:AV8,BB8:BC8,BI8:BJ8,BP8:BQ8,BW8:BX8,CD8:CE8)</f>
        <v>203047128</v>
      </c>
      <c r="CH8" s="143">
        <f t="shared" ca="1" si="53"/>
        <v>0</v>
      </c>
      <c r="CI8" s="192">
        <f t="shared" ca="1" si="54"/>
        <v>17920594</v>
      </c>
    </row>
    <row r="9" spans="1:90">
      <c r="A9" s="133" t="s">
        <v>191</v>
      </c>
      <c r="B9" s="62">
        <v>41500503</v>
      </c>
      <c r="C9" s="197">
        <f ca="1">IFERROR(IFERROR(VLOOKUP(TEXT($B9,0),INDIRECT("'Balance a "&amp;LEFT(AN$1,3)&amp;"'!$B$3:$G$300"),6,0)*-1,VLOOKUP(VALUE($B9),INDIRECT("'Balance a "&amp;LEFT(AN$1,3)&amp;"'!$B$3:$G$300"),6,0)*-1),0)*2</f>
        <v>2018000</v>
      </c>
      <c r="D9" s="78"/>
      <c r="E9" s="92">
        <f ca="1">$C9/COUNTA(E$1:$CI$1)</f>
        <v>168166.66666666666</v>
      </c>
      <c r="F9" s="92"/>
      <c r="G9" s="91">
        <f t="shared" ca="1" si="35"/>
        <v>0</v>
      </c>
      <c r="H9" s="92">
        <f t="shared" ca="1" si="36"/>
        <v>168166.66666666666</v>
      </c>
      <c r="I9" s="93">
        <f t="shared" ca="1" si="37"/>
        <v>0</v>
      </c>
      <c r="J9" s="193">
        <f t="shared" ca="1" si="38"/>
        <v>168166.66666666666</v>
      </c>
      <c r="K9" s="70"/>
      <c r="L9" s="92">
        <f t="shared" ref="L9:L11" ca="1" si="87">E9</f>
        <v>168166.66666666666</v>
      </c>
      <c r="M9" s="92"/>
      <c r="N9" s="91">
        <f t="shared" ca="1" si="55"/>
        <v>0</v>
      </c>
      <c r="O9" s="92">
        <f t="shared" ca="1" si="56"/>
        <v>336333.33333333331</v>
      </c>
      <c r="P9" s="93">
        <f t="shared" ca="1" si="57"/>
        <v>0</v>
      </c>
      <c r="Q9" s="193">
        <f t="shared" ca="1" si="58"/>
        <v>168166.66666666666</v>
      </c>
      <c r="R9" s="70"/>
      <c r="S9" s="92">
        <v>2000000</v>
      </c>
      <c r="T9" s="92"/>
      <c r="U9" s="91">
        <f t="shared" ca="1" si="59"/>
        <v>0</v>
      </c>
      <c r="V9" s="92">
        <f t="shared" ca="1" si="60"/>
        <v>2336333.3333333335</v>
      </c>
      <c r="W9" s="93">
        <f t="shared" ca="1" si="39"/>
        <v>0</v>
      </c>
      <c r="X9" s="193">
        <f t="shared" ca="1" si="61"/>
        <v>2000000</v>
      </c>
      <c r="Y9" s="70"/>
      <c r="Z9" s="92">
        <v>0</v>
      </c>
      <c r="AA9" s="92"/>
      <c r="AB9" s="91">
        <f t="shared" ca="1" si="62"/>
        <v>1009000</v>
      </c>
      <c r="AC9" s="92">
        <f t="shared" ca="1" si="63"/>
        <v>2336333.3333333335</v>
      </c>
      <c r="AD9" s="93">
        <f t="shared" ca="1" si="40"/>
        <v>1009000</v>
      </c>
      <c r="AE9" s="193">
        <f t="shared" ca="1" si="64"/>
        <v>-1009000</v>
      </c>
      <c r="AF9" s="70"/>
      <c r="AG9" s="92">
        <f t="shared" si="65"/>
        <v>0</v>
      </c>
      <c r="AH9" s="92"/>
      <c r="AI9" s="91">
        <f t="shared" ca="1" si="66"/>
        <v>0</v>
      </c>
      <c r="AJ9" s="92">
        <f t="shared" ca="1" si="67"/>
        <v>2336333.3333333335</v>
      </c>
      <c r="AK9" s="93">
        <f t="shared" ca="1" si="41"/>
        <v>1009000</v>
      </c>
      <c r="AL9" s="193">
        <f t="shared" ca="1" si="68"/>
        <v>0</v>
      </c>
      <c r="AM9" s="70"/>
      <c r="AN9" s="92">
        <f t="shared" si="69"/>
        <v>0</v>
      </c>
      <c r="AO9" s="92"/>
      <c r="AP9" s="91">
        <f t="shared" ca="1" si="70"/>
        <v>0</v>
      </c>
      <c r="AQ9" s="92">
        <f t="shared" ca="1" si="71"/>
        <v>2336333.3333333335</v>
      </c>
      <c r="AR9" s="93">
        <f t="shared" ca="1" si="42"/>
        <v>1009000</v>
      </c>
      <c r="AS9" s="193">
        <f t="shared" ca="1" si="72"/>
        <v>0</v>
      </c>
      <c r="AT9" s="70"/>
      <c r="AU9" s="92">
        <f t="shared" si="73"/>
        <v>0</v>
      </c>
      <c r="AV9" s="142"/>
      <c r="AW9" s="141">
        <f t="shared" ca="1" si="74"/>
        <v>0</v>
      </c>
      <c r="AX9" s="92">
        <f t="shared" ca="1" si="75"/>
        <v>2336333.3333333335</v>
      </c>
      <c r="AY9" s="143">
        <f t="shared" ca="1" si="43"/>
        <v>1009000</v>
      </c>
      <c r="AZ9" s="192">
        <f t="shared" ca="1" si="44"/>
        <v>0</v>
      </c>
      <c r="BA9" s="144"/>
      <c r="BB9" s="142">
        <f t="shared" si="76"/>
        <v>0</v>
      </c>
      <c r="BC9" s="142"/>
      <c r="BD9" s="141">
        <f t="shared" ca="1" si="31"/>
        <v>0</v>
      </c>
      <c r="BE9" s="92">
        <f t="shared" ca="1" si="77"/>
        <v>2336333.3333333335</v>
      </c>
      <c r="BF9" s="143">
        <f t="shared" ca="1" si="45"/>
        <v>1009000</v>
      </c>
      <c r="BG9" s="192">
        <f t="shared" ca="1" si="46"/>
        <v>0</v>
      </c>
      <c r="BH9" s="144"/>
      <c r="BI9" s="142">
        <f t="shared" si="78"/>
        <v>0</v>
      </c>
      <c r="BJ9" s="142"/>
      <c r="BK9" s="141">
        <f t="shared" ca="1" si="79"/>
        <v>0</v>
      </c>
      <c r="BL9" s="92">
        <f t="shared" ca="1" si="80"/>
        <v>2336333.3333333335</v>
      </c>
      <c r="BM9" s="143">
        <f t="shared" ca="1" si="47"/>
        <v>0</v>
      </c>
      <c r="BN9" s="192">
        <f t="shared" ca="1" si="48"/>
        <v>0</v>
      </c>
      <c r="BO9" s="144"/>
      <c r="BP9" s="142">
        <f t="shared" si="81"/>
        <v>0</v>
      </c>
      <c r="BQ9" s="142"/>
      <c r="BR9" s="141">
        <f t="shared" ca="1" si="32"/>
        <v>0</v>
      </c>
      <c r="BS9" s="92">
        <f t="shared" ca="1" si="82"/>
        <v>2336333.3333333335</v>
      </c>
      <c r="BT9" s="143">
        <f t="shared" ca="1" si="49"/>
        <v>0</v>
      </c>
      <c r="BU9" s="192">
        <f t="shared" ca="1" si="50"/>
        <v>0</v>
      </c>
      <c r="BV9" s="144"/>
      <c r="BW9" s="142">
        <f t="shared" ref="BW9:BW11" si="88">BP9</f>
        <v>0</v>
      </c>
      <c r="BX9" s="142"/>
      <c r="BY9" s="141">
        <f t="shared" ca="1" si="33"/>
        <v>0</v>
      </c>
      <c r="BZ9" s="92">
        <f t="shared" ca="1" si="84"/>
        <v>2336333.3333333335</v>
      </c>
      <c r="CA9" s="143">
        <f t="shared" ca="1" si="51"/>
        <v>0</v>
      </c>
      <c r="CB9" s="192">
        <f t="shared" ca="1" si="52"/>
        <v>0</v>
      </c>
      <c r="CC9" s="144"/>
      <c r="CD9" s="142">
        <f t="shared" si="85"/>
        <v>0</v>
      </c>
      <c r="CE9" s="142"/>
      <c r="CF9" s="141">
        <f t="shared" ca="1" si="34"/>
        <v>0</v>
      </c>
      <c r="CG9" s="92">
        <f t="shared" ca="1" si="86"/>
        <v>2336333.3333333335</v>
      </c>
      <c r="CH9" s="143">
        <f t="shared" ca="1" si="53"/>
        <v>0</v>
      </c>
      <c r="CI9" s="192">
        <f t="shared" ca="1" si="54"/>
        <v>0</v>
      </c>
    </row>
    <row r="10" spans="1:90">
      <c r="A10" s="133" t="s">
        <v>200</v>
      </c>
      <c r="B10" s="62">
        <v>41500504</v>
      </c>
      <c r="C10" s="197">
        <f ca="1">IFERROR(IFERROR(VLOOKUP(TEXT($B10,0),INDIRECT("'Balance a "&amp;LEFT(AN$1,3)&amp;"'!$B$3:$G$300"),6,0)*-1,VLOOKUP(VALUE($B10),INDIRECT("'Balance a "&amp;LEFT(AN$1,3)&amp;"'!$B$3:$G$300"),6,0)*-1),0)*2</f>
        <v>14000000</v>
      </c>
      <c r="D10" s="78"/>
      <c r="E10" s="92">
        <f ca="1">$C10/COUNTA(E$1:$CI$1)</f>
        <v>1166666.6666666667</v>
      </c>
      <c r="F10" s="92"/>
      <c r="G10" s="91">
        <f t="shared" ca="1" si="35"/>
        <v>0</v>
      </c>
      <c r="H10" s="92">
        <f t="shared" ca="1" si="36"/>
        <v>1166666.6666666667</v>
      </c>
      <c r="I10" s="93">
        <f t="shared" ca="1" si="37"/>
        <v>0</v>
      </c>
      <c r="J10" s="193">
        <f t="shared" ca="1" si="38"/>
        <v>1166666.6666666667</v>
      </c>
      <c r="K10" s="70"/>
      <c r="L10" s="92">
        <f t="shared" ca="1" si="87"/>
        <v>1166666.6666666667</v>
      </c>
      <c r="M10" s="92"/>
      <c r="N10" s="91">
        <f t="shared" ca="1" si="55"/>
        <v>0</v>
      </c>
      <c r="O10" s="92">
        <f ca="1">SUM(E10:F10,L10:M10)</f>
        <v>2333333.3333333335</v>
      </c>
      <c r="P10" s="93">
        <f t="shared" ca="1" si="57"/>
        <v>0</v>
      </c>
      <c r="Q10" s="193">
        <f t="shared" ca="1" si="58"/>
        <v>1166666.6666666667</v>
      </c>
      <c r="R10" s="70"/>
      <c r="S10" s="92">
        <f>2500000+2000000</f>
        <v>4500000</v>
      </c>
      <c r="T10" s="92"/>
      <c r="U10" s="91">
        <f t="shared" ca="1" si="59"/>
        <v>0</v>
      </c>
      <c r="V10" s="92">
        <f t="shared" ca="1" si="60"/>
        <v>6833333.333333334</v>
      </c>
      <c r="W10" s="93">
        <f t="shared" ca="1" si="39"/>
        <v>0</v>
      </c>
      <c r="X10" s="193">
        <f t="shared" ca="1" si="61"/>
        <v>4500000</v>
      </c>
      <c r="Y10" s="70"/>
      <c r="Z10" s="92">
        <f ca="1">$C10/COUNTA(Z$1:$CI$1)</f>
        <v>1555555.5555555555</v>
      </c>
      <c r="AA10" s="92"/>
      <c r="AB10" s="91">
        <f t="shared" ca="1" si="62"/>
        <v>7000000</v>
      </c>
      <c r="AC10" s="92">
        <f t="shared" ca="1" si="63"/>
        <v>8388888.8888888899</v>
      </c>
      <c r="AD10" s="93">
        <f t="shared" ca="1" si="40"/>
        <v>7000000</v>
      </c>
      <c r="AE10" s="193">
        <f t="shared" ca="1" si="64"/>
        <v>-5444444.444444444</v>
      </c>
      <c r="AF10" s="70"/>
      <c r="AG10" s="92">
        <f ca="1">$C10/COUNTA(AG$1:$CI$1)</f>
        <v>1750000</v>
      </c>
      <c r="AH10" s="92"/>
      <c r="AI10" s="91">
        <f t="shared" ca="1" si="66"/>
        <v>0</v>
      </c>
      <c r="AJ10" s="92">
        <f t="shared" ca="1" si="67"/>
        <v>10138888.88888889</v>
      </c>
      <c r="AK10" s="93">
        <f t="shared" ca="1" si="41"/>
        <v>7000000</v>
      </c>
      <c r="AL10" s="193">
        <f t="shared" ca="1" si="68"/>
        <v>1750000</v>
      </c>
      <c r="AM10" s="70"/>
      <c r="AN10" s="92">
        <f>+S10+450000</f>
        <v>4950000</v>
      </c>
      <c r="AO10" s="92">
        <v>4000000</v>
      </c>
      <c r="AP10" s="91">
        <f t="shared" ca="1" si="70"/>
        <v>0</v>
      </c>
      <c r="AQ10" s="92">
        <f t="shared" ca="1" si="71"/>
        <v>19088888.888888888</v>
      </c>
      <c r="AR10" s="93">
        <f t="shared" ca="1" si="42"/>
        <v>7000000</v>
      </c>
      <c r="AS10" s="193">
        <f t="shared" ca="1" si="72"/>
        <v>4950000</v>
      </c>
      <c r="AT10" s="70"/>
      <c r="AU10" s="142">
        <f t="shared" ref="AU10" ca="1" si="89">C10/COUNTA($AU$1:$CI$1)</f>
        <v>2333333.3333333335</v>
      </c>
      <c r="AV10" s="142"/>
      <c r="AW10" s="141">
        <f t="shared" ca="1" si="74"/>
        <v>0</v>
      </c>
      <c r="AX10" s="92">
        <f t="shared" ca="1" si="75"/>
        <v>21422222.22222222</v>
      </c>
      <c r="AY10" s="143">
        <f t="shared" ca="1" si="43"/>
        <v>7000000</v>
      </c>
      <c r="AZ10" s="192">
        <f t="shared" ca="1" si="44"/>
        <v>2333333.3333333335</v>
      </c>
      <c r="BA10" s="144"/>
      <c r="BB10" s="142">
        <f t="shared" ca="1" si="76"/>
        <v>2333333.3333333335</v>
      </c>
      <c r="BC10" s="142"/>
      <c r="BD10" s="141">
        <f t="shared" ca="1" si="31"/>
        <v>0</v>
      </c>
      <c r="BE10" s="92">
        <f t="shared" ca="1" si="77"/>
        <v>23755555.555555552</v>
      </c>
      <c r="BF10" s="143">
        <f t="shared" ca="1" si="45"/>
        <v>7000000</v>
      </c>
      <c r="BG10" s="192">
        <f t="shared" ca="1" si="46"/>
        <v>2333333.3333333335</v>
      </c>
      <c r="BH10" s="144"/>
      <c r="BI10" s="142">
        <f>+AN10</f>
        <v>4950000</v>
      </c>
      <c r="BJ10" s="92">
        <v>4000000</v>
      </c>
      <c r="BK10" s="141">
        <f t="shared" ca="1" si="79"/>
        <v>0</v>
      </c>
      <c r="BL10" s="92">
        <f t="shared" ca="1" si="80"/>
        <v>32705555.555555552</v>
      </c>
      <c r="BM10" s="143">
        <f t="shared" ca="1" si="47"/>
        <v>0</v>
      </c>
      <c r="BN10" s="192">
        <f t="shared" ca="1" si="48"/>
        <v>8950000</v>
      </c>
      <c r="BO10" s="144"/>
      <c r="BP10" s="142">
        <v>0</v>
      </c>
      <c r="BQ10" s="142"/>
      <c r="BR10" s="141">
        <f t="shared" ca="1" si="32"/>
        <v>0</v>
      </c>
      <c r="BS10" s="92">
        <f t="shared" ca="1" si="82"/>
        <v>32705555.555555552</v>
      </c>
      <c r="BT10" s="143">
        <f t="shared" ca="1" si="49"/>
        <v>0</v>
      </c>
      <c r="BU10" s="192">
        <f t="shared" ca="1" si="50"/>
        <v>0</v>
      </c>
      <c r="BV10" s="144"/>
      <c r="BW10" s="142">
        <f t="shared" si="88"/>
        <v>0</v>
      </c>
      <c r="BX10" s="142"/>
      <c r="BY10" s="141">
        <f t="shared" ca="1" si="33"/>
        <v>0</v>
      </c>
      <c r="BZ10" s="92">
        <f t="shared" ca="1" si="84"/>
        <v>32705555.555555552</v>
      </c>
      <c r="CA10" s="143">
        <f t="shared" ca="1" si="51"/>
        <v>0</v>
      </c>
      <c r="CB10" s="192">
        <f t="shared" ca="1" si="52"/>
        <v>0</v>
      </c>
      <c r="CC10" s="144"/>
      <c r="CD10" s="142">
        <f>+BI10</f>
        <v>4950000</v>
      </c>
      <c r="CE10" s="92">
        <v>4000000</v>
      </c>
      <c r="CF10" s="141">
        <f t="shared" ca="1" si="34"/>
        <v>0</v>
      </c>
      <c r="CG10" s="92">
        <f t="shared" ca="1" si="86"/>
        <v>41655555.555555552</v>
      </c>
      <c r="CH10" s="143">
        <f t="shared" ca="1" si="53"/>
        <v>0</v>
      </c>
      <c r="CI10" s="192">
        <f t="shared" ca="1" si="54"/>
        <v>8950000</v>
      </c>
    </row>
    <row r="11" spans="1:90">
      <c r="A11" s="133" t="s">
        <v>419</v>
      </c>
      <c r="B11" s="62">
        <v>41500505</v>
      </c>
      <c r="C11" s="197">
        <f ca="1">IFERROR(IFERROR(VLOOKUP(TEXT($B11,0),INDIRECT("'Balance a "&amp;LEFT(AN$1,3)&amp;"'!$B$3:$G$300"),6,0)*-1,VLOOKUP(VALUE($B11),INDIRECT("'Balance a "&amp;LEFT(AN$1,3)&amp;"'!$B$3:$G$300"),6,0)*-1),0)*2</f>
        <v>2400000</v>
      </c>
      <c r="D11" s="78"/>
      <c r="E11" s="92">
        <f ca="1">$C11/COUNTA(E$1:$CI$1)</f>
        <v>200000</v>
      </c>
      <c r="F11" s="92"/>
      <c r="G11" s="91">
        <f t="shared" ca="1" si="35"/>
        <v>0</v>
      </c>
      <c r="H11" s="92">
        <f t="shared" ca="1" si="36"/>
        <v>200000</v>
      </c>
      <c r="I11" s="93">
        <f t="shared" ca="1" si="37"/>
        <v>0</v>
      </c>
      <c r="J11" s="193">
        <f t="shared" ca="1" si="38"/>
        <v>200000</v>
      </c>
      <c r="K11" s="70"/>
      <c r="L11" s="92">
        <f t="shared" ca="1" si="87"/>
        <v>200000</v>
      </c>
      <c r="M11" s="92"/>
      <c r="N11" s="91">
        <f t="shared" ca="1" si="55"/>
        <v>0</v>
      </c>
      <c r="O11" s="92">
        <f t="shared" ca="1" si="56"/>
        <v>400000</v>
      </c>
      <c r="P11" s="93">
        <f t="shared" ca="1" si="57"/>
        <v>0</v>
      </c>
      <c r="Q11" s="193">
        <f t="shared" ca="1" si="58"/>
        <v>200000</v>
      </c>
      <c r="R11" s="70"/>
      <c r="S11" s="92">
        <v>0</v>
      </c>
      <c r="T11" s="92"/>
      <c r="U11" s="91">
        <f t="shared" ca="1" si="59"/>
        <v>0</v>
      </c>
      <c r="V11" s="92">
        <f t="shared" ca="1" si="60"/>
        <v>400000</v>
      </c>
      <c r="W11" s="93">
        <f t="shared" ca="1" si="39"/>
        <v>0</v>
      </c>
      <c r="X11" s="193">
        <f t="shared" ca="1" si="61"/>
        <v>0</v>
      </c>
      <c r="Y11" s="70"/>
      <c r="Z11" s="92">
        <f ca="1">$C11/COUNTA($E$1:$CI$1)</f>
        <v>200000</v>
      </c>
      <c r="AA11" s="92"/>
      <c r="AB11" s="91">
        <f t="shared" ca="1" si="62"/>
        <v>0</v>
      </c>
      <c r="AC11" s="92">
        <f t="shared" ca="1" si="63"/>
        <v>600000</v>
      </c>
      <c r="AD11" s="93">
        <f t="shared" ca="1" si="40"/>
        <v>0</v>
      </c>
      <c r="AE11" s="193">
        <f t="shared" ca="1" si="64"/>
        <v>200000</v>
      </c>
      <c r="AF11" s="70"/>
      <c r="AG11" s="92">
        <f ca="1">$C11/COUNTA($E$1:$CI$1)</f>
        <v>200000</v>
      </c>
      <c r="AH11" s="92"/>
      <c r="AI11" s="91">
        <f t="shared" ca="1" si="66"/>
        <v>1200000</v>
      </c>
      <c r="AJ11" s="92">
        <f t="shared" ca="1" si="67"/>
        <v>800000</v>
      </c>
      <c r="AK11" s="93">
        <f t="shared" ca="1" si="41"/>
        <v>1200000</v>
      </c>
      <c r="AL11" s="193">
        <f t="shared" ca="1" si="68"/>
        <v>-1000000</v>
      </c>
      <c r="AM11" s="70"/>
      <c r="AN11" s="92">
        <f ca="1">$C11/COUNTA($E$1:$CI$1)</f>
        <v>200000</v>
      </c>
      <c r="AO11" s="92"/>
      <c r="AP11" s="91">
        <f t="shared" ca="1" si="70"/>
        <v>0</v>
      </c>
      <c r="AQ11" s="92">
        <f t="shared" ca="1" si="71"/>
        <v>1000000</v>
      </c>
      <c r="AR11" s="93">
        <f t="shared" ca="1" si="42"/>
        <v>1200000</v>
      </c>
      <c r="AS11" s="193">
        <f t="shared" ca="1" si="72"/>
        <v>200000</v>
      </c>
      <c r="AT11" s="70"/>
      <c r="AU11" s="142">
        <f>60000*50</f>
        <v>3000000</v>
      </c>
      <c r="AV11" s="142"/>
      <c r="AW11" s="141">
        <f t="shared" ca="1" si="74"/>
        <v>0</v>
      </c>
      <c r="AX11" s="92">
        <f t="shared" ca="1" si="75"/>
        <v>4000000</v>
      </c>
      <c r="AY11" s="143">
        <f t="shared" ca="1" si="43"/>
        <v>1200000</v>
      </c>
      <c r="AZ11" s="192">
        <f t="shared" ca="1" si="44"/>
        <v>3000000</v>
      </c>
      <c r="BA11" s="144"/>
      <c r="BB11" s="142">
        <f>600000*30</f>
        <v>18000000</v>
      </c>
      <c r="BC11" s="142"/>
      <c r="BD11" s="141">
        <f t="shared" ca="1" si="31"/>
        <v>2280000</v>
      </c>
      <c r="BE11" s="92">
        <f t="shared" ca="1" si="77"/>
        <v>22000000</v>
      </c>
      <c r="BF11" s="143">
        <f t="shared" ca="1" si="45"/>
        <v>3480000</v>
      </c>
      <c r="BG11" s="192">
        <f t="shared" ca="1" si="46"/>
        <v>15720000</v>
      </c>
      <c r="BH11" s="144"/>
      <c r="BI11" s="142">
        <f>1500000*20</f>
        <v>30000000</v>
      </c>
      <c r="BJ11" s="142"/>
      <c r="BK11" s="141">
        <f t="shared" ca="1" si="79"/>
        <v>0</v>
      </c>
      <c r="BL11" s="92">
        <f t="shared" ca="1" si="80"/>
        <v>52000000</v>
      </c>
      <c r="BM11" s="143">
        <f t="shared" ca="1" si="47"/>
        <v>0</v>
      </c>
      <c r="BN11" s="192">
        <f t="shared" ca="1" si="48"/>
        <v>30000000</v>
      </c>
      <c r="BO11" s="144"/>
      <c r="BP11" s="142">
        <v>0</v>
      </c>
      <c r="BQ11" s="142"/>
      <c r="BR11" s="141">
        <f t="shared" ca="1" si="32"/>
        <v>0</v>
      </c>
      <c r="BS11" s="92">
        <f t="shared" ca="1" si="82"/>
        <v>52000000</v>
      </c>
      <c r="BT11" s="143">
        <f t="shared" ca="1" si="49"/>
        <v>0</v>
      </c>
      <c r="BU11" s="192">
        <f t="shared" ca="1" si="50"/>
        <v>0</v>
      </c>
      <c r="BV11" s="144"/>
      <c r="BW11" s="142">
        <f t="shared" si="88"/>
        <v>0</v>
      </c>
      <c r="BX11" s="142"/>
      <c r="BY11" s="141">
        <f t="shared" ca="1" si="33"/>
        <v>0</v>
      </c>
      <c r="BZ11" s="92">
        <f t="shared" ca="1" si="84"/>
        <v>52000000</v>
      </c>
      <c r="CA11" s="143">
        <f t="shared" ca="1" si="51"/>
        <v>0</v>
      </c>
      <c r="CB11" s="192">
        <f t="shared" ca="1" si="52"/>
        <v>0</v>
      </c>
      <c r="CC11" s="144"/>
      <c r="CD11" s="142">
        <f t="shared" si="85"/>
        <v>0</v>
      </c>
      <c r="CE11" s="142"/>
      <c r="CF11" s="141">
        <f t="shared" ca="1" si="34"/>
        <v>0</v>
      </c>
      <c r="CG11" s="92">
        <f t="shared" ca="1" si="86"/>
        <v>52000000</v>
      </c>
      <c r="CH11" s="143">
        <f t="shared" ca="1" si="53"/>
        <v>0</v>
      </c>
      <c r="CI11" s="192">
        <f t="shared" ca="1" si="54"/>
        <v>0</v>
      </c>
    </row>
    <row r="12" spans="1:90">
      <c r="A12" s="133" t="s">
        <v>121</v>
      </c>
      <c r="B12" s="62">
        <v>41750595</v>
      </c>
      <c r="C12" s="197">
        <f ca="1">IFERROR(IFERROR(VLOOKUP(TEXT($B12,0),INDIRECT("'Balance a "&amp;LEFT(AN$1,3)&amp;"'!$B$3:$G$300"),4,0),VLOOKUP(VALUE($B12),INDIRECT("'Balance a "&amp;LEFT(AN$1,3)&amp;"'!$B$3:$G$300"),4,0)),0)*2</f>
        <v>3600000</v>
      </c>
      <c r="D12" s="78"/>
      <c r="E12" s="92">
        <f ca="1">$C12/COUNTA(E$1:$CI$1)</f>
        <v>300000</v>
      </c>
      <c r="F12" s="92"/>
      <c r="G12" s="91">
        <f t="shared" ca="1" si="35"/>
        <v>0</v>
      </c>
      <c r="H12" s="92">
        <f t="shared" ca="1" si="36"/>
        <v>300000</v>
      </c>
      <c r="I12" s="93">
        <f ca="1">IFERROR(IFERROR(VLOOKUP(TEXT($B12,0),INDIRECT("'Balance a "&amp;LEFT(E$1,3)&amp;"'!$B$3:$G$300"),4,0),VLOOKUP(VALUE($B12),INDIRECT("'Balance a "&amp;LEFT(E$1,3)&amp;"'!$B$3:$G$300"),4,0)),0)</f>
        <v>0</v>
      </c>
      <c r="J12" s="193">
        <f t="shared" ca="1" si="38"/>
        <v>300000</v>
      </c>
      <c r="K12" s="70"/>
      <c r="L12" s="92">
        <f ca="1">E12</f>
        <v>300000</v>
      </c>
      <c r="M12" s="92"/>
      <c r="N12" s="91">
        <f t="shared" ca="1" si="55"/>
        <v>0</v>
      </c>
      <c r="O12" s="92">
        <f t="shared" ca="1" si="56"/>
        <v>600000</v>
      </c>
      <c r="P12" s="93">
        <f ca="1">IFERROR(IFERROR(VLOOKUP(TEXT($B12,0),INDIRECT("'Balance a "&amp;LEFT(L$1,3)&amp;"'!$B$3:$G$300"),4,0),VLOOKUP(VALUE($B12),INDIRECT("'Balance a "&amp;LEFT(L$1,3)&amp;"'!$B$3:$G$300"),4,0)),0)</f>
        <v>0</v>
      </c>
      <c r="Q12" s="193">
        <f t="shared" ca="1" si="58"/>
        <v>300000</v>
      </c>
      <c r="R12" s="70"/>
      <c r="S12" s="92">
        <f ca="1">L12</f>
        <v>300000</v>
      </c>
      <c r="T12" s="92"/>
      <c r="U12" s="91">
        <f t="shared" ca="1" si="59"/>
        <v>0</v>
      </c>
      <c r="V12" s="92">
        <f t="shared" ca="1" si="60"/>
        <v>900000</v>
      </c>
      <c r="W12" s="93">
        <f ca="1">IFERROR(IFERROR(VLOOKUP(TEXT($B12,0),INDIRECT("'Balance a "&amp;LEFT(S$1,3)&amp;"'!$B$3:$G$300"),4,0),VLOOKUP(VALUE($B12),INDIRECT("'Balance a "&amp;LEFT(S$1,3)&amp;"'!$B$3:$G$300"),4,0)),0)</f>
        <v>0</v>
      </c>
      <c r="X12" s="193">
        <f t="shared" ca="1" si="61"/>
        <v>300000</v>
      </c>
      <c r="Y12" s="70"/>
      <c r="Z12" s="92">
        <f ca="1">S12</f>
        <v>300000</v>
      </c>
      <c r="AA12" s="92"/>
      <c r="AB12" s="91">
        <f t="shared" ca="1" si="62"/>
        <v>0</v>
      </c>
      <c r="AC12" s="92">
        <f t="shared" ca="1" si="63"/>
        <v>1200000</v>
      </c>
      <c r="AD12" s="93">
        <f ca="1">IFERROR(IFERROR(VLOOKUP(TEXT($B12,0),INDIRECT("'Balance a "&amp;LEFT(Z$1,3)&amp;"'!$B$3:$G$300"),4,0),VLOOKUP(VALUE($B12),INDIRECT("'Balance a "&amp;LEFT(Z$1,3)&amp;"'!$B$3:$G$300"),4,0)),0)</f>
        <v>0</v>
      </c>
      <c r="AE12" s="193">
        <f t="shared" ca="1" si="64"/>
        <v>300000</v>
      </c>
      <c r="AF12" s="70"/>
      <c r="AG12" s="92">
        <f ca="1">Z12</f>
        <v>300000</v>
      </c>
      <c r="AH12" s="92"/>
      <c r="AI12" s="91">
        <f t="shared" ca="1" si="66"/>
        <v>0</v>
      </c>
      <c r="AJ12" s="92">
        <f t="shared" ca="1" si="67"/>
        <v>1500000</v>
      </c>
      <c r="AK12" s="93">
        <f ca="1">IFERROR(IFERROR(VLOOKUP(TEXT($B12,0),INDIRECT("'Balance a "&amp;LEFT(AG$1,3)&amp;"'!$B$3:$G$300"),4,0),VLOOKUP(VALUE($B12),INDIRECT("'Balance a "&amp;LEFT(AG$1,3)&amp;"'!$B$3:$G$300"),4,0)),0)</f>
        <v>0</v>
      </c>
      <c r="AL12" s="193">
        <f t="shared" ca="1" si="68"/>
        <v>300000</v>
      </c>
      <c r="AM12" s="70"/>
      <c r="AN12" s="92">
        <f ca="1">AG12</f>
        <v>300000</v>
      </c>
      <c r="AO12" s="92"/>
      <c r="AP12" s="91">
        <f t="shared" ca="1" si="70"/>
        <v>1800000</v>
      </c>
      <c r="AQ12" s="92">
        <f t="shared" ca="1" si="71"/>
        <v>1800000</v>
      </c>
      <c r="AR12" s="93">
        <f ca="1">IFERROR(IFERROR(VLOOKUP(TEXT($B12,0),INDIRECT("'Balance a "&amp;LEFT(AN$1,3)&amp;"'!$B$3:$G$300"),4,0),VLOOKUP(VALUE($B12),INDIRECT("'Balance a "&amp;LEFT(AN$1,3)&amp;"'!$B$3:$G$300"),4,0)),0)</f>
        <v>1800000</v>
      </c>
      <c r="AS12" s="193">
        <f t="shared" ca="1" si="72"/>
        <v>-1500000</v>
      </c>
      <c r="AT12" s="70"/>
      <c r="AU12" s="142">
        <f ca="1">AN12</f>
        <v>300000</v>
      </c>
      <c r="AV12" s="142"/>
      <c r="AW12" s="141">
        <f ca="1">IFERROR(AY12-AR12,0)</f>
        <v>0</v>
      </c>
      <c r="AX12" s="92">
        <f ca="1">SUM(E12:F12,L12:M12,S12:T12,Z12:AA12,AG12:AH12,AN12:AO12,AU12:AV12)</f>
        <v>2100000</v>
      </c>
      <c r="AY12" s="93">
        <f ca="1">IFERROR(IFERROR(VLOOKUP(TEXT($B12,0),INDIRECT("'Balance a "&amp;LEFT(AU$1,3)&amp;"'!$B$3:$G$300"),4,0),VLOOKUP(VALUE($B12),INDIRECT("'Balance a "&amp;LEFT(AU$1,3)&amp;"'!$B$3:$G$300"),4,0)),0)</f>
        <v>1800000</v>
      </c>
      <c r="AZ12" s="192">
        <f t="shared" ca="1" si="44"/>
        <v>300000</v>
      </c>
      <c r="BA12" s="144"/>
      <c r="BB12" s="142">
        <f ca="1">AU12</f>
        <v>300000</v>
      </c>
      <c r="BC12" s="142"/>
      <c r="BD12" s="141">
        <f t="shared" ca="1" si="31"/>
        <v>14466723</v>
      </c>
      <c r="BE12" s="92">
        <f t="shared" ca="1" si="77"/>
        <v>2400000</v>
      </c>
      <c r="BF12" s="93">
        <f ca="1">IFERROR(IFERROR(VLOOKUP(TEXT($B12,0),INDIRECT("'Balance a "&amp;LEFT(BB$1,3)&amp;"'!$B$3:$G$300"),4,0),VLOOKUP(VALUE($B12),INDIRECT("'Balance a "&amp;LEFT(BB$1,3)&amp;"'!$B$3:$G$300"),4,0)),0)</f>
        <v>16266723</v>
      </c>
      <c r="BG12" s="192">
        <f t="shared" ca="1" si="46"/>
        <v>-14166723</v>
      </c>
      <c r="BH12" s="144"/>
      <c r="BI12" s="142">
        <f ca="1">BB12</f>
        <v>300000</v>
      </c>
      <c r="BJ12" s="142"/>
      <c r="BK12" s="141">
        <f t="shared" ca="1" si="79"/>
        <v>0</v>
      </c>
      <c r="BL12" s="92">
        <f t="shared" ca="1" si="80"/>
        <v>2700000</v>
      </c>
      <c r="BM12" s="93">
        <f ca="1">IFERROR(IFERROR(VLOOKUP(TEXT($B12,0),INDIRECT("'Balance a "&amp;LEFT(BI$1,3)&amp;"'!$B$3:$G$300"),4,0),VLOOKUP(VALUE($B12),INDIRECT("'Balance a "&amp;LEFT(BI$1,3)&amp;"'!$B$3:$G$300"),4,0)),0)</f>
        <v>0</v>
      </c>
      <c r="BN12" s="192">
        <f t="shared" ca="1" si="48"/>
        <v>300000</v>
      </c>
      <c r="BO12" s="144"/>
      <c r="BP12" s="142">
        <f ca="1">BI12</f>
        <v>300000</v>
      </c>
      <c r="BQ12" s="142"/>
      <c r="BR12" s="141">
        <f t="shared" ca="1" si="32"/>
        <v>0</v>
      </c>
      <c r="BS12" s="92">
        <f t="shared" ca="1" si="82"/>
        <v>3000000</v>
      </c>
      <c r="BT12" s="93">
        <f ca="1">IFERROR(IFERROR(VLOOKUP(TEXT($B12,0),INDIRECT("'Balance a "&amp;LEFT(BP$1,3)&amp;"'!$B$3:$G$300"),4,0),VLOOKUP(VALUE($B12),INDIRECT("'Balance a "&amp;LEFT(BP$1,3)&amp;"'!$B$3:$G$300"),4,0)),0)</f>
        <v>0</v>
      </c>
      <c r="BU12" s="192">
        <f t="shared" ca="1" si="50"/>
        <v>300000</v>
      </c>
      <c r="BV12" s="144"/>
      <c r="BW12" s="142">
        <f ca="1">BP12</f>
        <v>300000</v>
      </c>
      <c r="BX12" s="142"/>
      <c r="BY12" s="141">
        <f t="shared" ca="1" si="33"/>
        <v>0</v>
      </c>
      <c r="BZ12" s="92">
        <f t="shared" ca="1" si="84"/>
        <v>3300000</v>
      </c>
      <c r="CA12" s="93">
        <f ca="1">IFERROR(IFERROR(VLOOKUP(TEXT($B12,0),INDIRECT("'Balance a "&amp;LEFT(BW$1,3)&amp;"'!$B$3:$G$300"),4,0),VLOOKUP(VALUE($B12),INDIRECT("'Balance a "&amp;LEFT(BW$1,3)&amp;"'!$B$3:$G$300"),4,0)),0)</f>
        <v>0</v>
      </c>
      <c r="CB12" s="192">
        <f t="shared" ca="1" si="52"/>
        <v>300000</v>
      </c>
      <c r="CC12" s="144"/>
      <c r="CD12" s="142">
        <f ca="1">BW12</f>
        <v>300000</v>
      </c>
      <c r="CE12" s="142"/>
      <c r="CF12" s="141">
        <f t="shared" ca="1" si="34"/>
        <v>0</v>
      </c>
      <c r="CG12" s="92">
        <f t="shared" ca="1" si="86"/>
        <v>3600000</v>
      </c>
      <c r="CH12" s="93">
        <f ca="1">IFERROR(IFERROR(VLOOKUP(TEXT($B12,0),INDIRECT("'Balance a "&amp;LEFT(CD$1,3)&amp;"'!$B$3:$G$300"),4,0),VLOOKUP(VALUE($B12),INDIRECT("'Balance a "&amp;LEFT(CD$1,3)&amp;"'!$B$3:$G$300"),4,0)),0)</f>
        <v>0</v>
      </c>
      <c r="CI12" s="192">
        <f t="shared" ca="1" si="54"/>
        <v>300000</v>
      </c>
    </row>
    <row r="13" spans="1:90">
      <c r="A13" s="133" t="s">
        <v>590</v>
      </c>
      <c r="B13" s="62">
        <v>42100501</v>
      </c>
      <c r="C13" s="197">
        <f ca="1">IFERROR(IFERROR(VLOOKUP(TEXT($B13,0),INDIRECT("'Balance a "&amp;LEFT(AN$1,3)&amp;"'!$B$3:$G$300"),6,0)*-1,VLOOKUP(VALUE($B13),INDIRECT("'Balance a "&amp;LEFT(AN$1,3)&amp;"'!$B$3:$G$300"),6,0)*-1),0)*2</f>
        <v>0</v>
      </c>
      <c r="D13" s="78"/>
      <c r="E13" s="92">
        <f ca="1">$C13/COUNTA(E$1:$CI$1)</f>
        <v>0</v>
      </c>
      <c r="F13" s="92"/>
      <c r="G13" s="91">
        <f t="shared" ref="G13" ca="1" si="90">IFERROR(I13,0)</f>
        <v>0</v>
      </c>
      <c r="H13" s="92">
        <f t="shared" ref="H13" ca="1" si="91">IFERROR(E13,0)</f>
        <v>0</v>
      </c>
      <c r="I13" s="93">
        <f t="shared" ref="I13" ca="1" si="92">IFERROR(IFERROR(VLOOKUP(TEXT($B13,0),INDIRECT("'Balance a "&amp;LEFT(E$1,3)&amp;"'!$B$3:$G$300"),5,0),VLOOKUP(VALUE($B13),INDIRECT("'Balance a "&amp;LEFT(E$1,3)&amp;"'!$B$3:$G$300"),5,0)),0)</f>
        <v>0</v>
      </c>
      <c r="J13" s="193">
        <f t="shared" ref="J13" ca="1" si="93">IFERROR(E13-G13,0)</f>
        <v>0</v>
      </c>
      <c r="K13" s="70"/>
      <c r="L13" s="92">
        <f ca="1">E13</f>
        <v>0</v>
      </c>
      <c r="M13" s="92"/>
      <c r="N13" s="91">
        <f t="shared" ref="N13" ca="1" si="94">IFERROR(P13-I13,0)</f>
        <v>0</v>
      </c>
      <c r="O13" s="92">
        <f t="shared" ref="O13" ca="1" si="95">SUM(E13:F13,L13:M13)</f>
        <v>0</v>
      </c>
      <c r="P13" s="93">
        <f t="shared" ref="P13" ca="1" si="96">IFERROR(IFERROR(VLOOKUP(TEXT($B13,0),INDIRECT("'Balance a "&amp;LEFT(L$1,3)&amp;"'!$B$3:$G$300"),5,0),VLOOKUP(VALUE($B13),INDIRECT("'Balance a "&amp;LEFT(L$1,3)&amp;"'!$B$3:$G$300"),5,0)),0)</f>
        <v>0</v>
      </c>
      <c r="Q13" s="193">
        <f t="shared" ref="Q13" ca="1" si="97">IFERROR(L13-N13,0)</f>
        <v>0</v>
      </c>
      <c r="R13" s="70"/>
      <c r="S13" s="92">
        <f ca="1">L13</f>
        <v>0</v>
      </c>
      <c r="T13" s="92"/>
      <c r="U13" s="91">
        <f t="shared" ref="U13" ca="1" si="98">IFERROR(W13-P13,0)</f>
        <v>0</v>
      </c>
      <c r="V13" s="92">
        <f t="shared" ref="V13" ca="1" si="99">SUM(E13:F13,L13:M13,S13:T13)</f>
        <v>0</v>
      </c>
      <c r="W13" s="93">
        <f t="shared" ref="W13" ca="1" si="100">IFERROR(IFERROR(VLOOKUP(TEXT($B13,0),INDIRECT("'Balance a "&amp;LEFT(S$1,3)&amp;"'!$B$3:$G$300"),5,0),VLOOKUP(VALUE($B13),INDIRECT("'Balance a "&amp;LEFT(S$1,3)&amp;"'!$B$3:$G$300"),5,0)),0)</f>
        <v>0</v>
      </c>
      <c r="X13" s="193">
        <f t="shared" ref="X13" ca="1" si="101">IFERROR(S13-U13,0)</f>
        <v>0</v>
      </c>
      <c r="Y13" s="70"/>
      <c r="Z13" s="92">
        <f ca="1">S13</f>
        <v>0</v>
      </c>
      <c r="AA13" s="92"/>
      <c r="AB13" s="91">
        <f t="shared" ref="AB13" ca="1" si="102">IFERROR(AD13-W13,0)</f>
        <v>0</v>
      </c>
      <c r="AC13" s="92">
        <f t="shared" ref="AC13" ca="1" si="103">SUM(E13:F13,L13:M13,S13:T13,Z13:AA13)</f>
        <v>0</v>
      </c>
      <c r="AD13" s="93">
        <f t="shared" ref="AD13" ca="1" si="104">IFERROR(IFERROR(VLOOKUP(TEXT($B13,0),INDIRECT("'Balance a "&amp;LEFT(Z$1,3)&amp;"'!$B$3:$G$300"),5,0),VLOOKUP(VALUE($B13),INDIRECT("'Balance a "&amp;LEFT(Z$1,3)&amp;"'!$B$3:$G$300"),5,0)),0)</f>
        <v>0</v>
      </c>
      <c r="AE13" s="193">
        <f t="shared" ref="AE13" ca="1" si="105">IFERROR(Z13-AB13,0)</f>
        <v>0</v>
      </c>
      <c r="AF13" s="70"/>
      <c r="AG13" s="92">
        <f ca="1">Z13</f>
        <v>0</v>
      </c>
      <c r="AH13" s="92"/>
      <c r="AI13" s="91">
        <f t="shared" ref="AI13" ca="1" si="106">IFERROR(AK13-AD13,0)</f>
        <v>0</v>
      </c>
      <c r="AJ13" s="92">
        <f t="shared" ref="AJ13" ca="1" si="107">SUM(E13:F13,L13:M13,S13:T13,Z13:AA13,AG13:AH13)</f>
        <v>0</v>
      </c>
      <c r="AK13" s="93">
        <f t="shared" ref="AK13" ca="1" si="108">IFERROR(IFERROR(VLOOKUP(TEXT($B13,0),INDIRECT("'Balance a "&amp;LEFT(AG$1,3)&amp;"'!$B$3:$G$300"),5,0),VLOOKUP(VALUE($B13),INDIRECT("'Balance a "&amp;LEFT(AG$1,3)&amp;"'!$B$3:$G$300"),5,0)),0)</f>
        <v>0</v>
      </c>
      <c r="AL13" s="193">
        <f t="shared" ref="AL13" ca="1" si="109">IFERROR(AG13-AI13,0)</f>
        <v>0</v>
      </c>
      <c r="AM13" s="70"/>
      <c r="AN13" s="92">
        <f ca="1">AG13</f>
        <v>0</v>
      </c>
      <c r="AO13" s="92"/>
      <c r="AP13" s="91">
        <f t="shared" ref="AP13" ca="1" si="110">IFERROR(AR13-AK13,0)</f>
        <v>0</v>
      </c>
      <c r="AQ13" s="92">
        <f t="shared" ref="AQ13" ca="1" si="111">SUM(E13:F13,L13:M13,S13:T13,Z13:AA13,AG13:AH13,AN13:AO13)</f>
        <v>0</v>
      </c>
      <c r="AR13" s="93">
        <f t="shared" ref="AR13" ca="1" si="112">IFERROR(IFERROR(VLOOKUP(TEXT($B13,0),INDIRECT("'Balance a "&amp;LEFT(AN$1,3)&amp;"'!$B$3:$G$300"),5,0),VLOOKUP(VALUE($B13),INDIRECT("'Balance a "&amp;LEFT(AN$1,3)&amp;"'!$B$3:$G$300"),5,0)),0)</f>
        <v>0</v>
      </c>
      <c r="AS13" s="193">
        <f t="shared" ref="AS13" ca="1" si="113">IFERROR(AN13-AP13,0)</f>
        <v>0</v>
      </c>
      <c r="AT13" s="70"/>
      <c r="AU13" s="142">
        <f ca="1">AN13</f>
        <v>0</v>
      </c>
      <c r="AV13" s="142"/>
      <c r="AW13" s="141">
        <f t="shared" ca="1" si="74"/>
        <v>394246</v>
      </c>
      <c r="AX13" s="92">
        <f t="shared" ref="AX13" ca="1" si="114">SUM(E13:F13,L13:M13,S13:T13,Z13:AA13,AG13:AH13,AN13:AO13,AU13:AV13)</f>
        <v>0</v>
      </c>
      <c r="AY13" s="143">
        <f t="shared" ref="AY13" ca="1" si="115">IFERROR(IFERROR(VLOOKUP(TEXT($B13,0),INDIRECT("'Balance a "&amp;LEFT(AU$1,3)&amp;"'!$B$3:$G$300"),6,0)*-1,VLOOKUP(VALUE($B13),INDIRECT("'Balance a "&amp;LEFT(AU$1,3)&amp;"'!$B$3:$G$300"),6,0)*-1),0)</f>
        <v>394246</v>
      </c>
      <c r="AZ13" s="192">
        <f t="shared" ref="AZ13" ca="1" si="116">IFERROR(AU13+AV13-AW13,0)</f>
        <v>-394246</v>
      </c>
      <c r="BA13" s="144"/>
      <c r="BB13" s="142">
        <f ca="1">AU13</f>
        <v>0</v>
      </c>
      <c r="BC13" s="142"/>
      <c r="BD13" s="141">
        <f t="shared" ref="BD13" ca="1" si="117">IFERROR(BF13-AY13,0)</f>
        <v>382480</v>
      </c>
      <c r="BE13" s="92">
        <f t="shared" ref="BE13" ca="1" si="118">SUM(E13:F13,L13:M13,S13:T13,Z13:AA13,AG13:AH13,AN13:AO13,AU13:AV13,BB13:BC13)</f>
        <v>0</v>
      </c>
      <c r="BF13" s="143">
        <f t="shared" ref="BF13" ca="1" si="119">IFERROR(IFERROR(VLOOKUP(TEXT($B13,0),INDIRECT("'Balance a "&amp;LEFT(BB$1,3)&amp;"'!$B$3:$G$300"),6,0)*-1,VLOOKUP(VALUE($B13),INDIRECT("'Balance a "&amp;LEFT(BB$1,3)&amp;"'!$B$3:$G$300"),6,0)*-1),0)</f>
        <v>776726</v>
      </c>
      <c r="BG13" s="192">
        <f t="shared" ref="BG13" ca="1" si="120">IFERROR(BB13+BC13-BD13,0)</f>
        <v>-382480</v>
      </c>
      <c r="BH13" s="144"/>
      <c r="BI13" s="142">
        <f ca="1">BB13</f>
        <v>0</v>
      </c>
      <c r="BJ13" s="142"/>
      <c r="BK13" s="141">
        <f t="shared" ca="1" si="79"/>
        <v>0</v>
      </c>
      <c r="BL13" s="92">
        <f t="shared" ref="BL13" ca="1" si="121">SUM(E13:F13,L13:M13,S13:T13,Z13:AA13,AG13:AH13,AN13:AO13,AU13:AV13,BB13:BC13,BI13:BJ13)</f>
        <v>0</v>
      </c>
      <c r="BM13" s="143">
        <f t="shared" ref="BM13" ca="1" si="122">IFERROR(IFERROR(VLOOKUP(TEXT($B13,0),INDIRECT("'Balance a "&amp;LEFT(BI$1,3)&amp;"'!$B$3:$G$300"),6,0)*-1,VLOOKUP(VALUE($B13),INDIRECT("'Balance a "&amp;LEFT(BI$1,3)&amp;"'!$B$3:$G$300"),6,0)*-1),0)</f>
        <v>0</v>
      </c>
      <c r="BN13" s="192">
        <f t="shared" ref="BN13" ca="1" si="123">IFERROR(BI13+BJ13-BK13,0)</f>
        <v>0</v>
      </c>
      <c r="BO13" s="144"/>
      <c r="BP13" s="142">
        <f ca="1">BI13</f>
        <v>0</v>
      </c>
      <c r="BQ13" s="142"/>
      <c r="BR13" s="141">
        <f t="shared" ref="BR13" ca="1" si="124">IFERROR(BT13-BM13,0)</f>
        <v>0</v>
      </c>
      <c r="BS13" s="92">
        <f t="shared" ref="BS13" ca="1" si="125">SUM(E13:F13,L13:M13,S13:T13,Z13:AA13,AG13:AH13,AN13:AO13,AU13:AV13,BB13:BC13,BI13:BJ13,BP13:BQ13)</f>
        <v>0</v>
      </c>
      <c r="BT13" s="143">
        <f t="shared" ref="BT13" ca="1" si="126">IFERROR(IFERROR(VLOOKUP(TEXT($B13,0),INDIRECT("'Balance a "&amp;LEFT(BP$1,3)&amp;"'!$B$3:$G$300"),6,0)*-1,VLOOKUP(VALUE($B13),INDIRECT("'Balance a "&amp;LEFT(BP$1,3)&amp;"'!$B$3:$G$300"),6,0)*-1),0)</f>
        <v>0</v>
      </c>
      <c r="BU13" s="192">
        <f t="shared" ref="BU13" ca="1" si="127">IFERROR(BP13+BQ13-BR13,0)</f>
        <v>0</v>
      </c>
      <c r="BV13" s="144"/>
      <c r="BW13" s="142">
        <f ca="1">BP13</f>
        <v>0</v>
      </c>
      <c r="BX13" s="142"/>
      <c r="BY13" s="141">
        <f t="shared" ref="BY13" ca="1" si="128">IFERROR(CA13-BT13,0)</f>
        <v>0</v>
      </c>
      <c r="BZ13" s="92">
        <f t="shared" ref="BZ13" ca="1" si="129">SUM(E13:F13,L13:M13,S13:T13,Z13:AA13,AG13:AH13,AN13:AO13,AU13:AV13,BB13:BC13,BI13:BJ13,BP13:BQ13,BW13:BX13)</f>
        <v>0</v>
      </c>
      <c r="CA13" s="143">
        <f t="shared" ref="CA13" ca="1" si="130">IFERROR(IFERROR(VLOOKUP(TEXT($B13,0),INDIRECT("'Balance a "&amp;LEFT(BW$1,3)&amp;"'!$B$3:$G$300"),6,0)*-1,VLOOKUP(VALUE($B13),INDIRECT("'Balance a "&amp;LEFT(BW$1,3)&amp;"'!$B$3:$G$300"),6,0)*-1),0)</f>
        <v>0</v>
      </c>
      <c r="CB13" s="192">
        <f t="shared" ref="CB13" ca="1" si="131">IFERROR(BW13+BX13-BY13,0)</f>
        <v>0</v>
      </c>
      <c r="CC13" s="144"/>
      <c r="CD13" s="142">
        <f ca="1">BW13</f>
        <v>0</v>
      </c>
      <c r="CE13" s="142"/>
      <c r="CF13" s="141">
        <f t="shared" ref="CF13" ca="1" si="132">IFERROR(CH13-CA13,0)</f>
        <v>0</v>
      </c>
      <c r="CG13" s="92">
        <f t="shared" ref="CG13" ca="1" si="133">SUM(E13:F13,L13:M13,S13:T13,Z13:AA13,AG13:AH13,AN13:AO13,AU13:AV13,BB13:BC13,BI13:BJ13,BP13:BQ13,BW13:BX13,CD13:CE13)</f>
        <v>0</v>
      </c>
      <c r="CH13" s="143">
        <f t="shared" ref="CH13" ca="1" si="134">IFERROR(IFERROR(VLOOKUP(TEXT($B13,0),INDIRECT("'Balance a "&amp;LEFT(CD$1,3)&amp;"'!$B$3:$G$300"),6,0)*-1,VLOOKUP(VALUE($B13),INDIRECT("'Balance a "&amp;LEFT(CD$1,3)&amp;"'!$B$3:$G$300"),6,0)*-1),0)</f>
        <v>0</v>
      </c>
      <c r="CI13" s="192">
        <f t="shared" ref="CI13" ca="1" si="135">IFERROR(CD13+CE13-CF13,0)</f>
        <v>0</v>
      </c>
    </row>
    <row r="14" spans="1:90" ht="6.95" customHeight="1">
      <c r="C14" s="81"/>
      <c r="D14" s="81"/>
      <c r="E14" s="86"/>
      <c r="F14" s="86"/>
      <c r="G14" s="87"/>
      <c r="H14" s="88"/>
      <c r="I14" s="88"/>
      <c r="J14" s="89"/>
      <c r="K14" s="70"/>
      <c r="L14" s="86"/>
      <c r="M14" s="86"/>
      <c r="N14" s="87"/>
      <c r="O14" s="88"/>
      <c r="P14" s="88"/>
      <c r="Q14" s="89"/>
      <c r="R14" s="70"/>
      <c r="S14" s="86"/>
      <c r="T14" s="86"/>
      <c r="U14" s="87"/>
      <c r="V14" s="88"/>
      <c r="W14" s="88"/>
      <c r="X14" s="89"/>
      <c r="Y14" s="70"/>
      <c r="Z14" s="86"/>
      <c r="AA14" s="86"/>
      <c r="AB14" s="87"/>
      <c r="AC14" s="88"/>
      <c r="AD14" s="88"/>
      <c r="AE14" s="89"/>
      <c r="AF14" s="70"/>
      <c r="AG14" s="86"/>
      <c r="AH14" s="86"/>
      <c r="AI14" s="87"/>
      <c r="AJ14" s="88"/>
      <c r="AK14" s="88"/>
      <c r="AL14" s="89"/>
      <c r="AM14" s="70"/>
      <c r="AN14" s="86"/>
      <c r="AO14" s="86"/>
      <c r="AP14" s="87"/>
      <c r="AQ14" s="88"/>
      <c r="AR14" s="88"/>
      <c r="AS14" s="89"/>
      <c r="AT14" s="70"/>
      <c r="AU14" s="145"/>
      <c r="AV14" s="145"/>
      <c r="AW14" s="146"/>
      <c r="AX14" s="147"/>
      <c r="AY14" s="147"/>
      <c r="AZ14" s="148"/>
      <c r="BA14" s="144"/>
      <c r="BB14" s="145"/>
      <c r="BC14" s="145"/>
      <c r="BD14" s="146"/>
      <c r="BE14" s="147"/>
      <c r="BF14" s="147"/>
      <c r="BG14" s="148"/>
      <c r="BH14" s="144"/>
      <c r="BI14" s="145"/>
      <c r="BJ14" s="145"/>
      <c r="BK14" s="146"/>
      <c r="BL14" s="147"/>
      <c r="BM14" s="147"/>
      <c r="BN14" s="148"/>
      <c r="BO14" s="144"/>
      <c r="BP14" s="145"/>
      <c r="BQ14" s="145"/>
      <c r="BR14" s="146"/>
      <c r="BS14" s="147"/>
      <c r="BT14" s="147"/>
      <c r="BU14" s="148"/>
      <c r="BV14" s="144"/>
      <c r="BW14" s="145"/>
      <c r="BX14" s="145"/>
      <c r="BY14" s="146"/>
      <c r="BZ14" s="147"/>
      <c r="CA14" s="147"/>
      <c r="CB14" s="148"/>
      <c r="CC14" s="144"/>
      <c r="CD14" s="145"/>
      <c r="CE14" s="145"/>
      <c r="CF14" s="146"/>
      <c r="CG14" s="147"/>
      <c r="CH14" s="147"/>
      <c r="CI14" s="148"/>
      <c r="CJ14" s="69"/>
      <c r="CK14" s="69"/>
      <c r="CL14" s="69"/>
    </row>
    <row r="15" spans="1:90">
      <c r="A15" s="254" t="s">
        <v>108</v>
      </c>
      <c r="B15" s="254"/>
      <c r="C15" s="213">
        <f t="shared" ref="C15" ca="1" si="136">SUM(C19:C19)</f>
        <v>50.3800000000046</v>
      </c>
      <c r="D15" s="73"/>
      <c r="E15" s="227">
        <f ca="1">SUM(E19:F19)</f>
        <v>4.1983333333337169</v>
      </c>
      <c r="F15" s="227"/>
      <c r="G15" s="194">
        <f ca="1">SUM(G19:G19)</f>
        <v>2.9100000000002</v>
      </c>
      <c r="H15" s="194">
        <f ca="1">SUM(H19:H19)</f>
        <v>4.1983333333337169</v>
      </c>
      <c r="I15" s="194">
        <f ca="1">SUM(I16:I19)</f>
        <v>2.9100000000002</v>
      </c>
      <c r="J15" s="194">
        <f ca="1">SUM(J16:J19)</f>
        <v>298566.03833333333</v>
      </c>
      <c r="K15" s="72"/>
      <c r="L15" s="227">
        <f ca="1">SUM(L19:M19)</f>
        <v>4.1983333333337169</v>
      </c>
      <c r="M15" s="227"/>
      <c r="N15" s="194">
        <f ca="1">SUM(N19:N19)</f>
        <v>3.1200000000002301</v>
      </c>
      <c r="O15" s="194">
        <f ca="1">SUM(O19:O19)</f>
        <v>8.3966666666674339</v>
      </c>
      <c r="P15" s="194">
        <f ca="1">SUM(P16:P19)</f>
        <v>6.0300000000004301</v>
      </c>
      <c r="Q15" s="194">
        <f ca="1">SUM(Q16:Q19)</f>
        <v>298565.82833333331</v>
      </c>
      <c r="R15" s="72"/>
      <c r="S15" s="227">
        <f ca="1">SUM(S19:T19)</f>
        <v>4.1983333333337169</v>
      </c>
      <c r="T15" s="227"/>
      <c r="U15" s="194">
        <f ca="1">SUM(U19:U19)</f>
        <v>2.6200000000002293</v>
      </c>
      <c r="V15" s="194">
        <f ca="1">SUM(V19:V19)</f>
        <v>12.59500000000115</v>
      </c>
      <c r="W15" s="194">
        <f ca="1">SUM(W16:W19)</f>
        <v>8.6500000000006594</v>
      </c>
      <c r="X15" s="194">
        <f ca="1">SUM(X16:X19)</f>
        <v>298566.32833333331</v>
      </c>
      <c r="Y15" s="72"/>
      <c r="Z15" s="227">
        <f ca="1">SUM(Z19:AA19)</f>
        <v>4.1983333333337169</v>
      </c>
      <c r="AA15" s="227"/>
      <c r="AB15" s="194">
        <f ca="1">SUM(AB19:AB19)</f>
        <v>2.220000000000141</v>
      </c>
      <c r="AC15" s="194">
        <f ca="1">SUM(AC19:AC19)</f>
        <v>16.793333333334868</v>
      </c>
      <c r="AD15" s="194">
        <f ca="1">SUM(AD16:AD19)</f>
        <v>1791399.37</v>
      </c>
      <c r="AE15" s="194">
        <f ca="1">SUM(AE16:AE19)</f>
        <v>-1492821.7716666667</v>
      </c>
      <c r="AF15" s="72"/>
      <c r="AG15" s="227">
        <f ca="1">SUM(AG19:AH19)</f>
        <v>4.1983333333337169</v>
      </c>
      <c r="AH15" s="227"/>
      <c r="AI15" s="194">
        <f ca="1">SUM(AI19:AI19)</f>
        <v>12.700000000000198</v>
      </c>
      <c r="AJ15" s="194">
        <f ca="1">SUM(AJ19:AJ19)</f>
        <v>20.991666666668586</v>
      </c>
      <c r="AK15" s="194">
        <f ca="1">SUM(AK16:AK19)</f>
        <v>1791412.07</v>
      </c>
      <c r="AL15" s="194">
        <f ca="1">SUM(AL16:AL19)</f>
        <v>298556.24833333335</v>
      </c>
      <c r="AM15" s="72"/>
      <c r="AN15" s="227">
        <f ca="1">SUM(AN19:AO19)</f>
        <v>4.1983333333337169</v>
      </c>
      <c r="AO15" s="227"/>
      <c r="AP15" s="194">
        <f ca="1">SUM(AP19:AP19)</f>
        <v>1.6200000000001999</v>
      </c>
      <c r="AQ15" s="194">
        <f ca="1">SUM(AQ19:AQ19)</f>
        <v>25.190000000002303</v>
      </c>
      <c r="AR15" s="194">
        <f ca="1">SUM(AR16:AR19)</f>
        <v>1791413.69</v>
      </c>
      <c r="AS15" s="194">
        <f ca="1">SUM(AS16:AS19)</f>
        <v>298567.32833333331</v>
      </c>
      <c r="AT15" s="72"/>
      <c r="AU15" s="227">
        <f ca="1">SUM(AU19:AV19)</f>
        <v>4.1983333333337169</v>
      </c>
      <c r="AV15" s="227"/>
      <c r="AW15" s="194">
        <f ca="1">SUM(AW19:AW19)</f>
        <v>2.2200000000003008</v>
      </c>
      <c r="AX15" s="194">
        <f ca="1">SUM(AX19:AX19)</f>
        <v>29.388333333336021</v>
      </c>
      <c r="AY15" s="194">
        <f ca="1">SUM(AY16:AY19)</f>
        <v>2327665.91</v>
      </c>
      <c r="AZ15" s="194">
        <f ca="1">SUM(AZ16:AZ19)</f>
        <v>-237683.27166666667</v>
      </c>
      <c r="BA15" s="149"/>
      <c r="BB15" s="227">
        <f ca="1">SUM(BB19:BC19)</f>
        <v>4.1983333333337169</v>
      </c>
      <c r="BC15" s="227"/>
      <c r="BD15" s="194">
        <f ca="1">SUM(BD19:BD19)</f>
        <v>3.2500000000000995</v>
      </c>
      <c r="BE15" s="194">
        <f ca="1">SUM(BE19:BE19)</f>
        <v>33.586666666669736</v>
      </c>
      <c r="BF15" s="194">
        <f ca="1">SUM(BF16:BF19)</f>
        <v>2863919.16</v>
      </c>
      <c r="BG15" s="194">
        <f ca="1">SUM(BG16:BG19)</f>
        <v>-237684.30166666667</v>
      </c>
      <c r="BH15" s="149"/>
      <c r="BI15" s="227">
        <f ca="1">SUM(BI19:BJ19)</f>
        <v>4.1983333333337169</v>
      </c>
      <c r="BJ15" s="227"/>
      <c r="BK15" s="194">
        <f ca="1">SUM(BK19:BK19)</f>
        <v>0</v>
      </c>
      <c r="BL15" s="194">
        <f ca="1">SUM(BL19:BL19)</f>
        <v>37.78500000000345</v>
      </c>
      <c r="BM15" s="194">
        <f ca="1">SUM(BM16:BM19)</f>
        <v>0</v>
      </c>
      <c r="BN15" s="194">
        <f ca="1">SUM(BN16:BN19)</f>
        <v>298568.94833333336</v>
      </c>
      <c r="BO15" s="149"/>
      <c r="BP15" s="227">
        <f ca="1">SUM(BP19:BQ19)</f>
        <v>4.1983333333337169</v>
      </c>
      <c r="BQ15" s="227"/>
      <c r="BR15" s="194">
        <f ca="1">SUM(BR19:BR19)</f>
        <v>0</v>
      </c>
      <c r="BS15" s="194">
        <f ca="1">SUM(BS19:BS19)</f>
        <v>41.983333333337164</v>
      </c>
      <c r="BT15" s="194">
        <f ca="1">SUM(BT16:BT19)</f>
        <v>0</v>
      </c>
      <c r="BU15" s="194">
        <f ca="1">SUM(BU16:BU19)</f>
        <v>298568.94833333336</v>
      </c>
      <c r="BV15" s="149"/>
      <c r="BW15" s="227">
        <f ca="1">SUM(BW19:BX19)</f>
        <v>4.1983333333337169</v>
      </c>
      <c r="BX15" s="227"/>
      <c r="BY15" s="194">
        <f ca="1">SUM(BY19:BY19)</f>
        <v>0</v>
      </c>
      <c r="BZ15" s="194">
        <f ca="1">SUM(BZ19:BZ19)</f>
        <v>46.181666666670878</v>
      </c>
      <c r="CA15" s="194">
        <f ca="1">SUM(CA16:CA19)</f>
        <v>0</v>
      </c>
      <c r="CB15" s="194">
        <f ca="1">SUM(CB16:CB19)</f>
        <v>298568.94833333336</v>
      </c>
      <c r="CC15" s="149"/>
      <c r="CD15" s="227">
        <f ca="1">SUM(CD19:CE19)</f>
        <v>4.1983333333337169</v>
      </c>
      <c r="CE15" s="227"/>
      <c r="CF15" s="194">
        <f ca="1">SUM(CF19:CF19)</f>
        <v>0</v>
      </c>
      <c r="CG15" s="194">
        <f ca="1">SUM(CG19:CG19)</f>
        <v>50.380000000004593</v>
      </c>
      <c r="CH15" s="194">
        <f ca="1">SUM(CH16:CH19)</f>
        <v>0</v>
      </c>
      <c r="CI15" s="190">
        <f ca="1">SUM(CI16:CI19)</f>
        <v>298568.94833333336</v>
      </c>
    </row>
    <row r="16" spans="1:90">
      <c r="A16" s="133" t="s">
        <v>429</v>
      </c>
      <c r="B16" s="62">
        <v>42454001</v>
      </c>
      <c r="C16" s="197">
        <f ca="1">IFERROR(IFERROR(VLOOKUP(TEXT($B16,0),INDIRECT("'Balance a "&amp;LEFT(AN$1,3)&amp;"'!$B$3:$G$300"),6,0)*-1,VLOOKUP(VALUE($B16),INDIRECT("'Balance a "&amp;LEFT(AN$1,3)&amp;"'!$B$3:$G$300"),6,0)*-1),0)*2</f>
        <v>0</v>
      </c>
      <c r="D16" s="78"/>
      <c r="E16" s="92">
        <f ca="1">$C16/COUNTA($E$1:$CI$1)</f>
        <v>0</v>
      </c>
      <c r="F16" s="92"/>
      <c r="G16" s="91">
        <f ca="1">IFERROR(I16,0)</f>
        <v>0</v>
      </c>
      <c r="H16" s="92">
        <f ca="1">IFERROR(E16,0)</f>
        <v>0</v>
      </c>
      <c r="I16" s="93">
        <f ca="1">IFERROR(IFERROR(VLOOKUP(TEXT($B16,0),INDIRECT("'Balance a "&amp;LEFT(E$1,3)&amp;"'!$B$3:$G$300"),5,0),VLOOKUP(VALUE($B16),INDIRECT("'Balance a "&amp;LEFT(E$1,3)&amp;"'!$B$3:$G$300"),5,0)),0)</f>
        <v>0</v>
      </c>
      <c r="J16" s="193">
        <f ca="1">IFERROR(E16-G16,0)</f>
        <v>0</v>
      </c>
      <c r="K16" s="70"/>
      <c r="L16" s="92">
        <f ca="1">E16+F16</f>
        <v>0</v>
      </c>
      <c r="M16" s="92"/>
      <c r="N16" s="91">
        <f ca="1">IFERROR(P16-I16,0)</f>
        <v>0</v>
      </c>
      <c r="O16" s="92">
        <f ca="1">SUM(E16:F16,L16:M16)</f>
        <v>0</v>
      </c>
      <c r="P16" s="93">
        <f ca="1">IFERROR(IFERROR(VLOOKUP(TEXT($B16,0),INDIRECT("'Balance a "&amp;LEFT(L$1,3)&amp;"'!$B$3:$G$300"),5,0),VLOOKUP(VALUE($B16),INDIRECT("'Balance a "&amp;LEFT(L$1,3)&amp;"'!$B$3:$G$300"),5,0)),0)</f>
        <v>0</v>
      </c>
      <c r="Q16" s="193">
        <f ca="1">IFERROR(L16-N16,0)</f>
        <v>0</v>
      </c>
      <c r="R16" s="70"/>
      <c r="S16" s="92">
        <f ca="1">L16+M16</f>
        <v>0</v>
      </c>
      <c r="T16" s="92"/>
      <c r="U16" s="91">
        <f ca="1">IFERROR(W16-P16,0)</f>
        <v>0</v>
      </c>
      <c r="V16" s="92">
        <f t="shared" ref="V16" ca="1" si="137">SUM(E16:F16,L16:M16,S16:T16)</f>
        <v>0</v>
      </c>
      <c r="W16" s="93">
        <f ca="1">IFERROR(IFERROR(VLOOKUP(TEXT($B16,0),INDIRECT("'Balance a "&amp;LEFT(S$1,3)&amp;"'!$B$3:$G$300"),5,0),VLOOKUP(VALUE($B16),INDIRECT("'Balance a "&amp;LEFT(S$1,3)&amp;"'!$B$3:$G$300"),5,0)),0)</f>
        <v>0</v>
      </c>
      <c r="X16" s="193">
        <f ca="1">IFERROR(S16-U16,0)</f>
        <v>0</v>
      </c>
      <c r="Y16" s="70"/>
      <c r="Z16" s="92">
        <f ca="1">S16+T16</f>
        <v>0</v>
      </c>
      <c r="AA16" s="92"/>
      <c r="AB16" s="91">
        <f ca="1">IFERROR(AD16-W16,0)</f>
        <v>0</v>
      </c>
      <c r="AC16" s="92">
        <f t="shared" ref="AC16:AC19" ca="1" si="138">SUM(E16:F16,L16:M16,S16:T16,Z16:AA16)</f>
        <v>0</v>
      </c>
      <c r="AD16" s="93">
        <f ca="1">IFERROR(IFERROR(VLOOKUP(TEXT($B16,0),INDIRECT("'Balance a "&amp;LEFT(Z$1,3)&amp;"'!$B$3:$G$300"),5,0),VLOOKUP(VALUE($B16),INDIRECT("'Balance a "&amp;LEFT(Z$1,3)&amp;"'!$B$3:$G$300"),5,0)),0)</f>
        <v>0</v>
      </c>
      <c r="AE16" s="193">
        <f ca="1">IFERROR(Z16-AB16,0)</f>
        <v>0</v>
      </c>
      <c r="AF16" s="70"/>
      <c r="AG16" s="92">
        <f ca="1">Z16+AA16</f>
        <v>0</v>
      </c>
      <c r="AH16" s="92"/>
      <c r="AI16" s="91">
        <f ca="1">IFERROR(AK16-AD16,0)</f>
        <v>0</v>
      </c>
      <c r="AJ16" s="92">
        <f t="shared" ref="AJ16:AJ19" ca="1" si="139">SUM(E16:F16,L16:M16,S16:T16,Z16:AA16,AG16:AH16)</f>
        <v>0</v>
      </c>
      <c r="AK16" s="93">
        <f ca="1">IFERROR(IFERROR(VLOOKUP(TEXT($B16,0),INDIRECT("'Balance a "&amp;LEFT(AG$1,3)&amp;"'!$B$3:$G$300"),5,0),VLOOKUP(VALUE($B16),INDIRECT("'Balance a "&amp;LEFT(AG$1,3)&amp;"'!$B$3:$G$300"),5,0)),0)</f>
        <v>0</v>
      </c>
      <c r="AL16" s="193">
        <f ca="1">IFERROR(AG16-AI16,0)</f>
        <v>0</v>
      </c>
      <c r="AM16" s="70"/>
      <c r="AN16" s="92">
        <f ca="1">AG16+AH16</f>
        <v>0</v>
      </c>
      <c r="AO16" s="92"/>
      <c r="AP16" s="91">
        <f ca="1">IFERROR(AR16-AK16,0)</f>
        <v>0</v>
      </c>
      <c r="AQ16" s="92">
        <f t="shared" ref="AQ16:AQ19" ca="1" si="140">SUM(E16:F16,L16:M16,S16:T16,Z16:AA16,AG16:AH16,AN16:AO16)</f>
        <v>0</v>
      </c>
      <c r="AR16" s="93">
        <f ca="1">IFERROR(IFERROR(VLOOKUP(TEXT($B16,0),INDIRECT("'Balance a "&amp;LEFT(AN$1,3)&amp;"'!$B$3:$G$300"),5,0),VLOOKUP(VALUE($B16),INDIRECT("'Balance a "&amp;LEFT(AN$1,3)&amp;"'!$B$3:$G$300"),5,0)),0)</f>
        <v>0</v>
      </c>
      <c r="AS16" s="193">
        <f ca="1">IFERROR(AN16-AP16,0)</f>
        <v>0</v>
      </c>
      <c r="AT16" s="70"/>
      <c r="AU16" s="92">
        <f ca="1">AN16+AO16</f>
        <v>0</v>
      </c>
      <c r="AV16" s="92"/>
      <c r="AW16" s="91">
        <f ca="1">IFERROR(AY16-AR16,0)</f>
        <v>0</v>
      </c>
      <c r="AX16" s="92">
        <f t="shared" ref="AX16:AX19" ca="1" si="141">SUM(E16:F16,L16:M16,S16:T16,Z16:AA16,AG16:AH16,AN16:AO16,AU16:AV16)</f>
        <v>0</v>
      </c>
      <c r="AY16" s="93">
        <f ca="1">IFERROR(IFERROR(VLOOKUP(TEXT($B16,0),INDIRECT("'Balance a "&amp;LEFT(AU$1,3)&amp;"'!$B$3:$G$300"),5,0),VLOOKUP(VALUE($B16),INDIRECT("'Balance a "&amp;LEFT(AU$1,3)&amp;"'!$B$3:$G$300"),5,0)),0)</f>
        <v>0</v>
      </c>
      <c r="AZ16" s="193">
        <f ca="1">IFERROR(AU16-AW16,0)</f>
        <v>0</v>
      </c>
      <c r="BA16" s="144"/>
      <c r="BB16" s="92">
        <f ca="1">AU16+AV16</f>
        <v>0</v>
      </c>
      <c r="BC16" s="92"/>
      <c r="BD16" s="91">
        <f ca="1">IFERROR(BF16-AY16,0)</f>
        <v>0</v>
      </c>
      <c r="BE16" s="92">
        <f t="shared" ref="BE16:BE19" ca="1" si="142">SUM(E16:F16,L16:M16,S16:T16,Z16:AA16,AG16:AH16,AN16:AO16,AU16:AV16,BB16:BC16)</f>
        <v>0</v>
      </c>
      <c r="BF16" s="93">
        <f ca="1">IFERROR(IFERROR(VLOOKUP(TEXT($B16,0),INDIRECT("'Balance a "&amp;LEFT(BB$1,3)&amp;"'!$B$3:$G$300"),5,0),VLOOKUP(VALUE($B16),INDIRECT("'Balance a "&amp;LEFT(BB$1,3)&amp;"'!$B$3:$G$300"),5,0)),0)</f>
        <v>0</v>
      </c>
      <c r="BG16" s="193">
        <f ca="1">IFERROR(BB16-BD16,0)</f>
        <v>0</v>
      </c>
      <c r="BH16" s="144"/>
      <c r="BI16" s="92">
        <f ca="1">BB16+BC16</f>
        <v>0</v>
      </c>
      <c r="BJ16" s="92"/>
      <c r="BK16" s="141">
        <f t="shared" ref="BK16:BK19" ca="1" si="143">IFERROR(IF(BM16=0,0,BM16-BF16),0)</f>
        <v>0</v>
      </c>
      <c r="BL16" s="92">
        <f t="shared" ref="BL16:BL19" ca="1" si="144">SUM(E16:F16,L16:M16,S16:T16,Z16:AA16,AG16:AH16,AN16:AO16,AU16:AV16,BB16:BC16,BI16:BJ16)</f>
        <v>0</v>
      </c>
      <c r="BM16" s="93">
        <f ca="1">IFERROR(IFERROR(VLOOKUP(TEXT($B16,0),INDIRECT("'Balance a "&amp;LEFT(BI$1,3)&amp;"'!$B$3:$G$300"),5,0),VLOOKUP(VALUE($B16),INDIRECT("'Balance a "&amp;LEFT(BI$1,3)&amp;"'!$B$3:$G$300"),5,0)),0)</f>
        <v>0</v>
      </c>
      <c r="BN16" s="193">
        <f ca="1">IFERROR(BI16-BK16,0)</f>
        <v>0</v>
      </c>
      <c r="BO16" s="144"/>
      <c r="BP16" s="92">
        <f ca="1">BI16+BJ16</f>
        <v>0</v>
      </c>
      <c r="BQ16" s="92"/>
      <c r="BR16" s="91">
        <f ca="1">IFERROR(BT16-BM16,0)</f>
        <v>0</v>
      </c>
      <c r="BS16" s="92">
        <f t="shared" ref="BS16:BS19" ca="1" si="145">SUM(E16:F16,L16:M16,S16:T16,Z16:AA16,AG16:AH16,AN16:AO16,AU16:AV16,BB16:BC16,BI16:BJ16,BP16:BQ16)</f>
        <v>0</v>
      </c>
      <c r="BT16" s="93">
        <f ca="1">IFERROR(IFERROR(VLOOKUP(TEXT($B16,0),INDIRECT("'Balance a "&amp;LEFT(BP$1,3)&amp;"'!$B$3:$G$300"),5,0),VLOOKUP(VALUE($B16),INDIRECT("'Balance a "&amp;LEFT(BP$1,3)&amp;"'!$B$3:$G$300"),5,0)),0)</f>
        <v>0</v>
      </c>
      <c r="BU16" s="193">
        <f ca="1">IFERROR(BP16-BR16,0)</f>
        <v>0</v>
      </c>
      <c r="BV16" s="144"/>
      <c r="BW16" s="92">
        <f ca="1">BP16+BQ16</f>
        <v>0</v>
      </c>
      <c r="BX16" s="92"/>
      <c r="BY16" s="91">
        <f ca="1">IFERROR(CA16-BT16,0)</f>
        <v>0</v>
      </c>
      <c r="BZ16" s="92">
        <f t="shared" ref="BZ16:BZ19" ca="1" si="146">SUM(E16:F16,L16:M16,S16:T16,Z16:AA16,AG16:AH16,AN16:AO16,AU16:AV16,BB16:BC16,BI16:BJ16,BP16:BQ16,BW16:BX16)</f>
        <v>0</v>
      </c>
      <c r="CA16" s="93">
        <f ca="1">IFERROR(IFERROR(VLOOKUP(TEXT($B16,0),INDIRECT("'Balance a "&amp;LEFT(BW$1,3)&amp;"'!$B$3:$G$300"),5,0),VLOOKUP(VALUE($B16),INDIRECT("'Balance a "&amp;LEFT(BW$1,3)&amp;"'!$B$3:$G$300"),5,0)),0)</f>
        <v>0</v>
      </c>
      <c r="CB16" s="193">
        <f ca="1">IFERROR(BW16-BY16,0)</f>
        <v>0</v>
      </c>
      <c r="CC16" s="144"/>
      <c r="CD16" s="92">
        <f ca="1">BW16+BX16</f>
        <v>0</v>
      </c>
      <c r="CE16" s="92"/>
      <c r="CF16" s="91">
        <f ca="1">IFERROR(CH16-CA16,0)</f>
        <v>0</v>
      </c>
      <c r="CG16" s="92">
        <f t="shared" ref="CG16:CG19" ca="1" si="147">SUM(E16:F16,L16:M16,S16:T16,Z16:AA16,AG16:AH16,AN16:AO16,AU16:AV16,BB16:BC16,BI16:BJ16,BP16:BQ16,BW16:BX16,CD16:CE16)</f>
        <v>0</v>
      </c>
      <c r="CH16" s="93">
        <f ca="1">IFERROR(IFERROR(VLOOKUP(TEXT($B16,0),INDIRECT("'Balance a "&amp;LEFT(CD$1,3)&amp;"'!$B$3:$G$300"),5,0),VLOOKUP(VALUE($B16),INDIRECT("'Balance a "&amp;LEFT(CD$1,3)&amp;"'!$B$3:$G$300"),5,0)),0)</f>
        <v>0</v>
      </c>
      <c r="CI16" s="193">
        <f ca="1">IFERROR(CD16-CF16,0)</f>
        <v>0</v>
      </c>
    </row>
    <row r="17" spans="1:90">
      <c r="A17" s="133" t="s">
        <v>599</v>
      </c>
      <c r="B17" s="62">
        <v>42503504</v>
      </c>
      <c r="C17" s="197">
        <f ca="1">IFERROR(IFERROR(VLOOKUP(TEXT($B17,0),INDIRECT("'Balance a "&amp;LEFT(AN$1,3)&amp;"'!$B$3:$G$300"),6,0)*-1,VLOOKUP(VALUE($B17),INDIRECT("'Balance a "&amp;LEFT(AN$1,3)&amp;"'!$B$3:$G$300"),6,0)*-1),0)*2</f>
        <v>3290277</v>
      </c>
      <c r="D17" s="78"/>
      <c r="E17" s="92">
        <f ca="1">$C17/COUNTA($E$1:$CI$1)</f>
        <v>274189.75</v>
      </c>
      <c r="F17" s="92"/>
      <c r="G17" s="91">
        <f ca="1">IFERROR(I17,0)</f>
        <v>0</v>
      </c>
      <c r="H17" s="92">
        <f ca="1">IFERROR(E17,0)</f>
        <v>274189.75</v>
      </c>
      <c r="I17" s="93">
        <f ca="1">IFERROR(IFERROR(VLOOKUP(TEXT($B17,0),INDIRECT("'Balance a "&amp;LEFT(E$1,3)&amp;"'!$B$3:$G$300"),5,0),VLOOKUP(VALUE($B17),INDIRECT("'Balance a "&amp;LEFT(E$1,3)&amp;"'!$B$3:$G$300"),5,0)),0)</f>
        <v>0</v>
      </c>
      <c r="J17" s="193">
        <f ca="1">IFERROR(E17-G17,0)</f>
        <v>274189.75</v>
      </c>
      <c r="K17" s="70"/>
      <c r="L17" s="92">
        <f ca="1">E17+F17</f>
        <v>274189.75</v>
      </c>
      <c r="M17" s="92"/>
      <c r="N17" s="91">
        <f ca="1">IFERROR(P17-I17,0)</f>
        <v>0</v>
      </c>
      <c r="O17" s="92">
        <f ca="1">SUM(E17:F17,L17:M17)</f>
        <v>548379.5</v>
      </c>
      <c r="P17" s="93">
        <f ca="1">IFERROR(IFERROR(VLOOKUP(TEXT($B17,0),INDIRECT("'Balance a "&amp;LEFT(L$1,3)&amp;"'!$B$3:$G$300"),5,0),VLOOKUP(VALUE($B17),INDIRECT("'Balance a "&amp;LEFT(L$1,3)&amp;"'!$B$3:$G$300"),5,0)),0)</f>
        <v>0</v>
      </c>
      <c r="Q17" s="193">
        <f ca="1">IFERROR(L17-N17,0)</f>
        <v>274189.75</v>
      </c>
      <c r="R17" s="70"/>
      <c r="S17" s="92">
        <f ca="1">L17+M17</f>
        <v>274189.75</v>
      </c>
      <c r="T17" s="92"/>
      <c r="U17" s="91">
        <f ca="1">IFERROR(W17-P17,0)</f>
        <v>0</v>
      </c>
      <c r="V17" s="92">
        <f t="shared" ref="V17" ca="1" si="148">SUM(E17:F17,L17:M17,S17:T17)</f>
        <v>822569.25</v>
      </c>
      <c r="W17" s="93">
        <f ca="1">IFERROR(IFERROR(VLOOKUP(TEXT($B17,0),INDIRECT("'Balance a "&amp;LEFT(S$1,3)&amp;"'!$B$3:$G$300"),5,0),VLOOKUP(VALUE($B17),INDIRECT("'Balance a "&amp;LEFT(S$1,3)&amp;"'!$B$3:$G$300"),5,0)),0)</f>
        <v>0</v>
      </c>
      <c r="X17" s="193">
        <f ca="1">IFERROR(S17-U17,0)</f>
        <v>274189.75</v>
      </c>
      <c r="Y17" s="70"/>
      <c r="Z17" s="92">
        <f ca="1">S17+T17</f>
        <v>274189.75</v>
      </c>
      <c r="AA17" s="92"/>
      <c r="AB17" s="91">
        <f ca="1">IFERROR(AD17-W17,0)</f>
        <v>1645138.5</v>
      </c>
      <c r="AC17" s="92">
        <f t="shared" ref="AC17" ca="1" si="149">SUM(E17:F17,L17:M17,S17:T17,Z17:AA17)</f>
        <v>1096759</v>
      </c>
      <c r="AD17" s="93">
        <f ca="1">IFERROR(IFERROR(VLOOKUP(TEXT($B17,0),INDIRECT("'Balance a "&amp;LEFT(Z$1,3)&amp;"'!$B$3:$G$300"),5,0),VLOOKUP(VALUE($B17),INDIRECT("'Balance a "&amp;LEFT(Z$1,3)&amp;"'!$B$3:$G$300"),5,0)),0)</f>
        <v>1645138.5</v>
      </c>
      <c r="AE17" s="193">
        <f ca="1">IFERROR(Z17-AB17,0)</f>
        <v>-1370948.75</v>
      </c>
      <c r="AF17" s="70"/>
      <c r="AG17" s="92">
        <f ca="1">Z17+AA17</f>
        <v>274189.75</v>
      </c>
      <c r="AH17" s="92"/>
      <c r="AI17" s="91">
        <f ca="1">IFERROR(AK17-AD17,0)</f>
        <v>0</v>
      </c>
      <c r="AJ17" s="92">
        <f t="shared" ref="AJ17" ca="1" si="150">SUM(E17:F17,L17:M17,S17:T17,Z17:AA17,AG17:AH17)</f>
        <v>1370948.75</v>
      </c>
      <c r="AK17" s="93">
        <f ca="1">IFERROR(IFERROR(VLOOKUP(TEXT($B17,0),INDIRECT("'Balance a "&amp;LEFT(AG$1,3)&amp;"'!$B$3:$G$300"),5,0),VLOOKUP(VALUE($B17),INDIRECT("'Balance a "&amp;LEFT(AG$1,3)&amp;"'!$B$3:$G$300"),5,0)),0)</f>
        <v>1645138.5</v>
      </c>
      <c r="AL17" s="193">
        <f ca="1">IFERROR(AG17-AI17,0)</f>
        <v>274189.75</v>
      </c>
      <c r="AM17" s="70"/>
      <c r="AN17" s="92">
        <f ca="1">AG17+AH17</f>
        <v>274189.75</v>
      </c>
      <c r="AO17" s="92"/>
      <c r="AP17" s="91">
        <f ca="1">IFERROR(AR17-AK17,0)</f>
        <v>0</v>
      </c>
      <c r="AQ17" s="92">
        <f t="shared" ref="AQ17" ca="1" si="151">SUM(E17:F17,L17:M17,S17:T17,Z17:AA17,AG17:AH17,AN17:AO17)</f>
        <v>1645138.5</v>
      </c>
      <c r="AR17" s="93">
        <f ca="1">IFERROR(IFERROR(VLOOKUP(TEXT($B17,0),INDIRECT("'Balance a "&amp;LEFT(AN$1,3)&amp;"'!$B$3:$G$300"),5,0),VLOOKUP(VALUE($B17),INDIRECT("'Balance a "&amp;LEFT(AN$1,3)&amp;"'!$B$3:$G$300"),5,0)),0)</f>
        <v>1645138.5</v>
      </c>
      <c r="AS17" s="193">
        <f ca="1">IFERROR(AN17-AP17,0)</f>
        <v>274189.75</v>
      </c>
      <c r="AT17" s="70"/>
      <c r="AU17" s="92">
        <f ca="1">AN17+AO17</f>
        <v>274189.75</v>
      </c>
      <c r="AV17" s="92"/>
      <c r="AW17" s="91">
        <f ca="1">IFERROR(AY17-AR17,0)</f>
        <v>0</v>
      </c>
      <c r="AX17" s="92">
        <f t="shared" ref="AX17" ca="1" si="152">SUM(E17:F17,L17:M17,S17:T17,Z17:AA17,AG17:AH17,AN17:AO17,AU17:AV17)</f>
        <v>1919328.25</v>
      </c>
      <c r="AY17" s="93">
        <f ca="1">IFERROR(IFERROR(VLOOKUP(TEXT($B17,0),INDIRECT("'Balance a "&amp;LEFT(AU$1,3)&amp;"'!$B$3:$G$300"),5,0),VLOOKUP(VALUE($B17),INDIRECT("'Balance a "&amp;LEFT(AU$1,3)&amp;"'!$B$3:$G$300"),5,0)),0)</f>
        <v>1645138.5</v>
      </c>
      <c r="AZ17" s="193">
        <f ca="1">IFERROR(AU17-AW17,0)</f>
        <v>274189.75</v>
      </c>
      <c r="BA17" s="144"/>
      <c r="BB17" s="92">
        <f ca="1">AU17+AV17</f>
        <v>274189.75</v>
      </c>
      <c r="BC17" s="92"/>
      <c r="BD17" s="91">
        <f ca="1">IFERROR(BF17-AY17,0)</f>
        <v>0</v>
      </c>
      <c r="BE17" s="92">
        <f t="shared" ref="BE17" ca="1" si="153">SUM(E17:F17,L17:M17,S17:T17,Z17:AA17,AG17:AH17,AN17:AO17,AU17:AV17,BB17:BC17)</f>
        <v>2193518</v>
      </c>
      <c r="BF17" s="93">
        <f ca="1">IFERROR(IFERROR(VLOOKUP(TEXT($B17,0),INDIRECT("'Balance a "&amp;LEFT(BB$1,3)&amp;"'!$B$3:$G$300"),5,0),VLOOKUP(VALUE($B17),INDIRECT("'Balance a "&amp;LEFT(BB$1,3)&amp;"'!$B$3:$G$300"),5,0)),0)</f>
        <v>1645138.5</v>
      </c>
      <c r="BG17" s="193">
        <f ca="1">IFERROR(BB17-BD17,0)</f>
        <v>274189.75</v>
      </c>
      <c r="BH17" s="144"/>
      <c r="BI17" s="92">
        <f ca="1">BB17+BC17</f>
        <v>274189.75</v>
      </c>
      <c r="BJ17" s="92"/>
      <c r="BK17" s="141">
        <f t="shared" ca="1" si="143"/>
        <v>0</v>
      </c>
      <c r="BL17" s="92">
        <f t="shared" ref="BL17" ca="1" si="154">SUM(E17:F17,L17:M17,S17:T17,Z17:AA17,AG17:AH17,AN17:AO17,AU17:AV17,BB17:BC17,BI17:BJ17)</f>
        <v>2467707.75</v>
      </c>
      <c r="BM17" s="93">
        <f ca="1">IFERROR(IFERROR(VLOOKUP(TEXT($B17,0),INDIRECT("'Balance a "&amp;LEFT(BI$1,3)&amp;"'!$B$3:$G$300"),5,0),VLOOKUP(VALUE($B17),INDIRECT("'Balance a "&amp;LEFT(BI$1,3)&amp;"'!$B$3:$G$300"),5,0)),0)</f>
        <v>0</v>
      </c>
      <c r="BN17" s="193">
        <f ca="1">IFERROR(BI17-BK17,0)</f>
        <v>274189.75</v>
      </c>
      <c r="BO17" s="144"/>
      <c r="BP17" s="92">
        <f ca="1">BI17+BJ17</f>
        <v>274189.75</v>
      </c>
      <c r="BQ17" s="92"/>
      <c r="BR17" s="91">
        <f ca="1">IFERROR(BT17-BM17,0)</f>
        <v>0</v>
      </c>
      <c r="BS17" s="92">
        <f t="shared" ref="BS17" ca="1" si="155">SUM(E17:F17,L17:M17,S17:T17,Z17:AA17,AG17:AH17,AN17:AO17,AU17:AV17,BB17:BC17,BI17:BJ17,BP17:BQ17)</f>
        <v>2741897.5</v>
      </c>
      <c r="BT17" s="93">
        <f ca="1">IFERROR(IFERROR(VLOOKUP(TEXT($B17,0),INDIRECT("'Balance a "&amp;LEFT(BP$1,3)&amp;"'!$B$3:$G$300"),5,0),VLOOKUP(VALUE($B17),INDIRECT("'Balance a "&amp;LEFT(BP$1,3)&amp;"'!$B$3:$G$300"),5,0)),0)</f>
        <v>0</v>
      </c>
      <c r="BU17" s="193">
        <f ca="1">IFERROR(BP17-BR17,0)</f>
        <v>274189.75</v>
      </c>
      <c r="BV17" s="144"/>
      <c r="BW17" s="92">
        <f ca="1">BP17+BQ17</f>
        <v>274189.75</v>
      </c>
      <c r="BX17" s="92"/>
      <c r="BY17" s="91">
        <f ca="1">IFERROR(CA17-BT17,0)</f>
        <v>0</v>
      </c>
      <c r="BZ17" s="92">
        <f t="shared" ref="BZ17" ca="1" si="156">SUM(E17:F17,L17:M17,S17:T17,Z17:AA17,AG17:AH17,AN17:AO17,AU17:AV17,BB17:BC17,BI17:BJ17,BP17:BQ17,BW17:BX17)</f>
        <v>3016087.25</v>
      </c>
      <c r="CA17" s="93">
        <f ca="1">IFERROR(IFERROR(VLOOKUP(TEXT($B17,0),INDIRECT("'Balance a "&amp;LEFT(BW$1,3)&amp;"'!$B$3:$G$300"),5,0),VLOOKUP(VALUE($B17),INDIRECT("'Balance a "&amp;LEFT(BW$1,3)&amp;"'!$B$3:$G$300"),5,0)),0)</f>
        <v>0</v>
      </c>
      <c r="CB17" s="193">
        <f ca="1">IFERROR(BW17-BY17,0)</f>
        <v>274189.75</v>
      </c>
      <c r="CC17" s="144"/>
      <c r="CD17" s="92">
        <f ca="1">BW17+BX17</f>
        <v>274189.75</v>
      </c>
      <c r="CE17" s="92"/>
      <c r="CF17" s="91">
        <f ca="1">IFERROR(CH17-CA17,0)</f>
        <v>0</v>
      </c>
      <c r="CG17" s="92">
        <f t="shared" ref="CG17" ca="1" si="157">SUM(E17:F17,L17:M17,S17:T17,Z17:AA17,AG17:AH17,AN17:AO17,AU17:AV17,BB17:BC17,BI17:BJ17,BP17:BQ17,BW17:BX17,CD17:CE17)</f>
        <v>3290277</v>
      </c>
      <c r="CH17" s="93">
        <f ca="1">IFERROR(IFERROR(VLOOKUP(TEXT($B17,0),INDIRECT("'Balance a "&amp;LEFT(CD$1,3)&amp;"'!$B$3:$G$300"),5,0),VLOOKUP(VALUE($B17),INDIRECT("'Balance a "&amp;LEFT(CD$1,3)&amp;"'!$B$3:$G$300"),5,0)),0)</f>
        <v>0</v>
      </c>
      <c r="CI17" s="193">
        <f ca="1">IFERROR(CD17-CF17,0)</f>
        <v>274189.75</v>
      </c>
    </row>
    <row r="18" spans="1:90">
      <c r="A18" s="133" t="s">
        <v>543</v>
      </c>
      <c r="B18" s="62">
        <v>42955701</v>
      </c>
      <c r="C18" s="197">
        <f ca="1">IFERROR(IFERROR(VLOOKUP(TEXT($B18,0),INDIRECT("'Balance a "&amp;LEFT(AN$1,3)&amp;"'!$B$3:$G$300"),6,0)*-1,VLOOKUP(VALUE($B18),INDIRECT("'Balance a "&amp;LEFT(AN$1,3)&amp;"'!$B$3:$G$300"),6,0)*-1),0)*2</f>
        <v>292500</v>
      </c>
      <c r="D18" s="78"/>
      <c r="E18" s="92">
        <f ca="1">$C18/COUNTA($E$1:$CI$1)</f>
        <v>24375</v>
      </c>
      <c r="F18" s="92"/>
      <c r="G18" s="91">
        <f ca="1">IFERROR(I18,0)</f>
        <v>0</v>
      </c>
      <c r="H18" s="92">
        <f ca="1">IFERROR(E18,0)</f>
        <v>24375</v>
      </c>
      <c r="I18" s="93">
        <f ca="1">IFERROR(IFERROR(VLOOKUP(TEXT($B18,0),INDIRECT("'Balance a "&amp;LEFT(E$1,3)&amp;"'!$B$3:$G$300"),5,0),VLOOKUP(VALUE($B18),INDIRECT("'Balance a "&amp;LEFT(E$1,3)&amp;"'!$B$3:$G$300"),5,0)),0)</f>
        <v>0</v>
      </c>
      <c r="J18" s="193">
        <f ca="1">IFERROR(E18-G18,0)</f>
        <v>24375</v>
      </c>
      <c r="K18" s="70"/>
      <c r="L18" s="92">
        <f ca="1">E18+F18</f>
        <v>24375</v>
      </c>
      <c r="M18" s="92"/>
      <c r="N18" s="91">
        <f ca="1">IFERROR(P18-I18,0)</f>
        <v>0</v>
      </c>
      <c r="O18" s="92">
        <f ca="1">SUM(E18:F18,L18:M18)</f>
        <v>48750</v>
      </c>
      <c r="P18" s="93">
        <f ca="1">IFERROR(IFERROR(VLOOKUP(TEXT($B18,0),INDIRECT("'Balance a "&amp;LEFT(L$1,3)&amp;"'!$B$3:$G$300"),5,0),VLOOKUP(VALUE($B18),INDIRECT("'Balance a "&amp;LEFT(L$1,3)&amp;"'!$B$3:$G$300"),5,0)),0)</f>
        <v>0</v>
      </c>
      <c r="Q18" s="193">
        <f ca="1">IFERROR(L18-N18,0)</f>
        <v>24375</v>
      </c>
      <c r="R18" s="70"/>
      <c r="S18" s="92">
        <f ca="1">L18+M18</f>
        <v>24375</v>
      </c>
      <c r="T18" s="92"/>
      <c r="U18" s="91">
        <f ca="1">IFERROR(W18-P18,0)</f>
        <v>0</v>
      </c>
      <c r="V18" s="92">
        <f t="shared" ref="V18" ca="1" si="158">SUM(E18:F18,L18:M18,S18:T18)</f>
        <v>73125</v>
      </c>
      <c r="W18" s="93">
        <f ca="1">IFERROR(IFERROR(VLOOKUP(TEXT($B18,0),INDIRECT("'Balance a "&amp;LEFT(S$1,3)&amp;"'!$B$3:$G$300"),5,0),VLOOKUP(VALUE($B18),INDIRECT("'Balance a "&amp;LEFT(S$1,3)&amp;"'!$B$3:$G$300"),5,0)),0)</f>
        <v>0</v>
      </c>
      <c r="X18" s="193">
        <f ca="1">IFERROR(S18-U18,0)</f>
        <v>24375</v>
      </c>
      <c r="Y18" s="70"/>
      <c r="Z18" s="92">
        <f ca="1">S18+T18</f>
        <v>24375</v>
      </c>
      <c r="AA18" s="92"/>
      <c r="AB18" s="91">
        <f ca="1">IFERROR(AD18-W18,0)</f>
        <v>146250</v>
      </c>
      <c r="AC18" s="92">
        <f t="shared" ref="AC18" ca="1" si="159">SUM(E18:F18,L18:M18,S18:T18,Z18:AA18)</f>
        <v>97500</v>
      </c>
      <c r="AD18" s="93">
        <f ca="1">IFERROR(IFERROR(VLOOKUP(TEXT($B18,0),INDIRECT("'Balance a "&amp;LEFT(Z$1,3)&amp;"'!$B$3:$G$300"),5,0),VLOOKUP(VALUE($B18),INDIRECT("'Balance a "&amp;LEFT(Z$1,3)&amp;"'!$B$3:$G$300"),5,0)),0)</f>
        <v>146250</v>
      </c>
      <c r="AE18" s="193">
        <f ca="1">IFERROR(Z18-AB18,0)</f>
        <v>-121875</v>
      </c>
      <c r="AF18" s="70"/>
      <c r="AG18" s="92">
        <f ca="1">Z18+AA18</f>
        <v>24375</v>
      </c>
      <c r="AH18" s="92"/>
      <c r="AI18" s="91">
        <f ca="1">IFERROR(AK18-AD18,0)</f>
        <v>0</v>
      </c>
      <c r="AJ18" s="92">
        <f t="shared" ref="AJ18" ca="1" si="160">SUM(E18:F18,L18:M18,S18:T18,Z18:AA18,AG18:AH18)</f>
        <v>121875</v>
      </c>
      <c r="AK18" s="93">
        <f ca="1">IFERROR(IFERROR(VLOOKUP(TEXT($B18,0),INDIRECT("'Balance a "&amp;LEFT(AG$1,3)&amp;"'!$B$3:$G$300"),5,0),VLOOKUP(VALUE($B18),INDIRECT("'Balance a "&amp;LEFT(AG$1,3)&amp;"'!$B$3:$G$300"),5,0)),0)</f>
        <v>146250</v>
      </c>
      <c r="AL18" s="193">
        <f ca="1">IFERROR(AG18-AI18,0)</f>
        <v>24375</v>
      </c>
      <c r="AM18" s="70"/>
      <c r="AN18" s="92">
        <f ca="1">AG18+AH18</f>
        <v>24375</v>
      </c>
      <c r="AO18" s="92"/>
      <c r="AP18" s="91">
        <f ca="1">IFERROR(AR18-AK18,0)</f>
        <v>0</v>
      </c>
      <c r="AQ18" s="92">
        <f t="shared" ref="AQ18" ca="1" si="161">SUM(E18:F18,L18:M18,S18:T18,Z18:AA18,AG18:AH18,AN18:AO18)</f>
        <v>146250</v>
      </c>
      <c r="AR18" s="93">
        <f ca="1">IFERROR(IFERROR(VLOOKUP(TEXT($B18,0),INDIRECT("'Balance a "&amp;LEFT(AN$1,3)&amp;"'!$B$3:$G$300"),5,0),VLOOKUP(VALUE($B18),INDIRECT("'Balance a "&amp;LEFT(AN$1,3)&amp;"'!$B$3:$G$300"),5,0)),0)</f>
        <v>146250</v>
      </c>
      <c r="AS18" s="193">
        <f ca="1">IFERROR(AN18-AP18,0)</f>
        <v>24375</v>
      </c>
      <c r="AT18" s="70"/>
      <c r="AU18" s="92">
        <f ca="1">AN18+AO18</f>
        <v>24375</v>
      </c>
      <c r="AV18" s="92"/>
      <c r="AW18" s="91">
        <f ca="1">IFERROR(AY18-AR18,0)</f>
        <v>536250</v>
      </c>
      <c r="AX18" s="92">
        <f t="shared" ref="AX18" ca="1" si="162">SUM(E18:F18,L18:M18,S18:T18,Z18:AA18,AG18:AH18,AN18:AO18,AU18:AV18)</f>
        <v>170625</v>
      </c>
      <c r="AY18" s="93">
        <f ca="1">IFERROR(IFERROR(VLOOKUP(TEXT($B18,0),INDIRECT("'Balance a "&amp;LEFT(AU$1,3)&amp;"'!$B$3:$G$300"),5,0),VLOOKUP(VALUE($B18),INDIRECT("'Balance a "&amp;LEFT(AU$1,3)&amp;"'!$B$3:$G$300"),5,0)),0)</f>
        <v>682500</v>
      </c>
      <c r="AZ18" s="193">
        <f ca="1">IFERROR(AU18-AW18,0)</f>
        <v>-511875</v>
      </c>
      <c r="BA18" s="144"/>
      <c r="BB18" s="92">
        <f ca="1">AU18+AV18</f>
        <v>24375</v>
      </c>
      <c r="BC18" s="92"/>
      <c r="BD18" s="91">
        <f ca="1">IFERROR(BF18-AY18,0)</f>
        <v>536250</v>
      </c>
      <c r="BE18" s="92">
        <f t="shared" ref="BE18" ca="1" si="163">SUM(E18:F18,L18:M18,S18:T18,Z18:AA18,AG18:AH18,AN18:AO18,AU18:AV18,BB18:BC18)</f>
        <v>195000</v>
      </c>
      <c r="BF18" s="93">
        <f ca="1">IFERROR(IFERROR(VLOOKUP(TEXT($B18,0),INDIRECT("'Balance a "&amp;LEFT(BB$1,3)&amp;"'!$B$3:$G$300"),5,0),VLOOKUP(VALUE($B18),INDIRECT("'Balance a "&amp;LEFT(BB$1,3)&amp;"'!$B$3:$G$300"),5,0)),0)</f>
        <v>1218750</v>
      </c>
      <c r="BG18" s="193">
        <f ca="1">IFERROR(BB18-BD18,0)</f>
        <v>-511875</v>
      </c>
      <c r="BH18" s="144"/>
      <c r="BI18" s="92">
        <f ca="1">BB18+BC18</f>
        <v>24375</v>
      </c>
      <c r="BJ18" s="92"/>
      <c r="BK18" s="141">
        <f t="shared" ca="1" si="143"/>
        <v>0</v>
      </c>
      <c r="BL18" s="92">
        <f t="shared" ref="BL18" ca="1" si="164">SUM(E18:F18,L18:M18,S18:T18,Z18:AA18,AG18:AH18,AN18:AO18,AU18:AV18,BB18:BC18,BI18:BJ18)</f>
        <v>219375</v>
      </c>
      <c r="BM18" s="93">
        <f ca="1">IFERROR(IFERROR(VLOOKUP(TEXT($B18,0),INDIRECT("'Balance a "&amp;LEFT(BI$1,3)&amp;"'!$B$3:$G$300"),5,0),VLOOKUP(VALUE($B18),INDIRECT("'Balance a "&amp;LEFT(BI$1,3)&amp;"'!$B$3:$G$300"),5,0)),0)</f>
        <v>0</v>
      </c>
      <c r="BN18" s="193">
        <f ca="1">IFERROR(BI18-BK18,0)</f>
        <v>24375</v>
      </c>
      <c r="BO18" s="144"/>
      <c r="BP18" s="92">
        <f ca="1">BI18+BJ18</f>
        <v>24375</v>
      </c>
      <c r="BQ18" s="92"/>
      <c r="BR18" s="91">
        <f ca="1">IFERROR(BT18-BM18,0)</f>
        <v>0</v>
      </c>
      <c r="BS18" s="92">
        <f t="shared" ref="BS18" ca="1" si="165">SUM(E18:F18,L18:M18,S18:T18,Z18:AA18,AG18:AH18,AN18:AO18,AU18:AV18,BB18:BC18,BI18:BJ18,BP18:BQ18)</f>
        <v>243750</v>
      </c>
      <c r="BT18" s="93">
        <f ca="1">IFERROR(IFERROR(VLOOKUP(TEXT($B18,0),INDIRECT("'Balance a "&amp;LEFT(BP$1,3)&amp;"'!$B$3:$G$300"),5,0),VLOOKUP(VALUE($B18),INDIRECT("'Balance a "&amp;LEFT(BP$1,3)&amp;"'!$B$3:$G$300"),5,0)),0)</f>
        <v>0</v>
      </c>
      <c r="BU18" s="193">
        <f ca="1">IFERROR(BP18-BR18,0)</f>
        <v>24375</v>
      </c>
      <c r="BV18" s="144"/>
      <c r="BW18" s="92">
        <f ca="1">BP18+BQ18</f>
        <v>24375</v>
      </c>
      <c r="BX18" s="92"/>
      <c r="BY18" s="91">
        <f ca="1">IFERROR(CA18-BT18,0)</f>
        <v>0</v>
      </c>
      <c r="BZ18" s="92">
        <f t="shared" ref="BZ18" ca="1" si="166">SUM(E18:F18,L18:M18,S18:T18,Z18:AA18,AG18:AH18,AN18:AO18,AU18:AV18,BB18:BC18,BI18:BJ18,BP18:BQ18,BW18:BX18)</f>
        <v>268125</v>
      </c>
      <c r="CA18" s="93">
        <f ca="1">IFERROR(IFERROR(VLOOKUP(TEXT($B18,0),INDIRECT("'Balance a "&amp;LEFT(BW$1,3)&amp;"'!$B$3:$G$300"),5,0),VLOOKUP(VALUE($B18),INDIRECT("'Balance a "&amp;LEFT(BW$1,3)&amp;"'!$B$3:$G$300"),5,0)),0)</f>
        <v>0</v>
      </c>
      <c r="CB18" s="193">
        <f ca="1">IFERROR(BW18-BY18,0)</f>
        <v>24375</v>
      </c>
      <c r="CC18" s="144"/>
      <c r="CD18" s="92">
        <f ca="1">BW18+BX18</f>
        <v>24375</v>
      </c>
      <c r="CE18" s="92"/>
      <c r="CF18" s="91">
        <f ca="1">IFERROR(CH18-CA18,0)</f>
        <v>0</v>
      </c>
      <c r="CG18" s="92">
        <f t="shared" ref="CG18" ca="1" si="167">SUM(E18:F18,L18:M18,S18:T18,Z18:AA18,AG18:AH18,AN18:AO18,AU18:AV18,BB18:BC18,BI18:BJ18,BP18:BQ18,BW18:BX18,CD18:CE18)</f>
        <v>292500</v>
      </c>
      <c r="CH18" s="93">
        <f ca="1">IFERROR(IFERROR(VLOOKUP(TEXT($B18,0),INDIRECT("'Balance a "&amp;LEFT(CD$1,3)&amp;"'!$B$3:$G$300"),5,0),VLOOKUP(VALUE($B18),INDIRECT("'Balance a "&amp;LEFT(CD$1,3)&amp;"'!$B$3:$G$300"),5,0)),0)</f>
        <v>0</v>
      </c>
      <c r="CI18" s="193">
        <f ca="1">IFERROR(CD18-CF18,0)</f>
        <v>24375</v>
      </c>
    </row>
    <row r="19" spans="1:90">
      <c r="A19" s="133" t="s">
        <v>99</v>
      </c>
      <c r="B19" s="62">
        <v>42958101</v>
      </c>
      <c r="C19" s="197">
        <f ca="1">IFERROR(IFERROR(VLOOKUP(TEXT($B19,0),INDIRECT("'Balance a "&amp;LEFT(AN$1,3)&amp;"'!$B$3:$G$300"),6,0)*-1,VLOOKUP(VALUE($B19),INDIRECT("'Balance a "&amp;LEFT(AN$1,3)&amp;"'!$B$3:$G$300"),6,0)*-1),0)*2</f>
        <v>50.3800000000046</v>
      </c>
      <c r="D19" s="78"/>
      <c r="E19" s="92">
        <f t="shared" ref="E19" ca="1" si="168">$C19/COUNTA($E$1:$CI$1)</f>
        <v>4.1983333333337169</v>
      </c>
      <c r="F19" s="92"/>
      <c r="G19" s="91">
        <f t="shared" ref="G19" ca="1" si="169">IFERROR(I19,0)</f>
        <v>2.9100000000002</v>
      </c>
      <c r="H19" s="92">
        <f t="shared" ref="H19" ca="1" si="170">IFERROR(E19,0)</f>
        <v>4.1983333333337169</v>
      </c>
      <c r="I19" s="93">
        <f t="shared" ref="I19" ca="1" si="171">IFERROR(IFERROR(VLOOKUP(TEXT($B19,0),INDIRECT("'Balance a "&amp;LEFT(E$1,3)&amp;"'!$B$3:$G$300"),5,0),VLOOKUP(VALUE($B19),INDIRECT("'Balance a "&amp;LEFT(E$1,3)&amp;"'!$B$3:$G$300"),5,0)),0)</f>
        <v>2.9100000000002</v>
      </c>
      <c r="J19" s="193">
        <f t="shared" ref="J19" ca="1" si="172">IFERROR(E19-G19,0)</f>
        <v>1.288333333333517</v>
      </c>
      <c r="K19" s="70"/>
      <c r="L19" s="92">
        <f ca="1">E19+F19</f>
        <v>4.1983333333337169</v>
      </c>
      <c r="M19" s="92"/>
      <c r="N19" s="91">
        <f ca="1">IFERROR(P19-I19,0)</f>
        <v>3.1200000000002301</v>
      </c>
      <c r="O19" s="92">
        <f ca="1">SUM(E19:F19,L19:M19)</f>
        <v>8.3966666666674339</v>
      </c>
      <c r="P19" s="93">
        <f ca="1">IFERROR(IFERROR(VLOOKUP(TEXT($B19,0),INDIRECT("'Balance a "&amp;LEFT(L$1,3)&amp;"'!$B$3:$G$300"),5,0),VLOOKUP(VALUE($B19),INDIRECT("'Balance a "&amp;LEFT(L$1,3)&amp;"'!$B$3:$G$300"),5,0)),0)</f>
        <v>6.0300000000004301</v>
      </c>
      <c r="Q19" s="193">
        <f ca="1">IFERROR(L19-N19,0)</f>
        <v>1.0783333333334868</v>
      </c>
      <c r="R19" s="70"/>
      <c r="S19" s="92">
        <f ca="1">L19+M19</f>
        <v>4.1983333333337169</v>
      </c>
      <c r="T19" s="92"/>
      <c r="U19" s="91">
        <f ca="1">IFERROR(W19-P19,0)</f>
        <v>2.6200000000002293</v>
      </c>
      <c r="V19" s="92">
        <f t="shared" ref="V19" ca="1" si="173">SUM(E19:F19,L19:M19,S19:T19)</f>
        <v>12.59500000000115</v>
      </c>
      <c r="W19" s="93">
        <f ca="1">IFERROR(IFERROR(VLOOKUP(TEXT($B19,0),INDIRECT("'Balance a "&amp;LEFT(S$1,3)&amp;"'!$B$3:$G$300"),5,0),VLOOKUP(VALUE($B19),INDIRECT("'Balance a "&amp;LEFT(S$1,3)&amp;"'!$B$3:$G$300"),5,0)),0)</f>
        <v>8.6500000000006594</v>
      </c>
      <c r="X19" s="193">
        <f ca="1">IFERROR(S19-U19,0)</f>
        <v>1.5783333333334877</v>
      </c>
      <c r="Y19" s="70"/>
      <c r="Z19" s="92">
        <f ca="1">S19+T19</f>
        <v>4.1983333333337169</v>
      </c>
      <c r="AA19" s="92"/>
      <c r="AB19" s="91">
        <f ca="1">IFERROR(AD19-W19,0)</f>
        <v>2.220000000000141</v>
      </c>
      <c r="AC19" s="92">
        <f t="shared" ca="1" si="138"/>
        <v>16.793333333334868</v>
      </c>
      <c r="AD19" s="93">
        <f ca="1">IFERROR(IFERROR(VLOOKUP(TEXT($B19,0),INDIRECT("'Balance a "&amp;LEFT(Z$1,3)&amp;"'!$B$3:$G$300"),5,0),VLOOKUP(VALUE($B19),INDIRECT("'Balance a "&amp;LEFT(Z$1,3)&amp;"'!$B$3:$G$300"),5,0)),0)</f>
        <v>10.8700000000008</v>
      </c>
      <c r="AE19" s="193">
        <f ca="1">IFERROR(Z19-AB19,0)</f>
        <v>1.978333333333576</v>
      </c>
      <c r="AF19" s="70"/>
      <c r="AG19" s="92">
        <f ca="1">Z19+AA19</f>
        <v>4.1983333333337169</v>
      </c>
      <c r="AH19" s="92"/>
      <c r="AI19" s="91">
        <f ca="1">IFERROR(AK19-AD19,0)</f>
        <v>12.700000000000198</v>
      </c>
      <c r="AJ19" s="92">
        <f t="shared" ca="1" si="139"/>
        <v>20.991666666668586</v>
      </c>
      <c r="AK19" s="93">
        <f ca="1">IFERROR(IFERROR(VLOOKUP(TEXT($B19,0),INDIRECT("'Balance a "&amp;LEFT(AG$1,3)&amp;"'!$B$3:$G$300"),5,0),VLOOKUP(VALUE($B19),INDIRECT("'Balance a "&amp;LEFT(AG$1,3)&amp;"'!$B$3:$G$300"),5,0)),0)</f>
        <v>23.570000000000999</v>
      </c>
      <c r="AL19" s="193">
        <f ca="1">IFERROR(AG19-AI19,0)</f>
        <v>-8.5016666666664804</v>
      </c>
      <c r="AM19" s="70"/>
      <c r="AN19" s="92">
        <f ca="1">AG19+AH19</f>
        <v>4.1983333333337169</v>
      </c>
      <c r="AO19" s="92"/>
      <c r="AP19" s="91">
        <f ca="1">IFERROR(AR19-AK19,0)</f>
        <v>1.6200000000001999</v>
      </c>
      <c r="AQ19" s="92">
        <f t="shared" ca="1" si="140"/>
        <v>25.190000000002303</v>
      </c>
      <c r="AR19" s="93">
        <f ca="1">IFERROR(IFERROR(VLOOKUP(TEXT($B19,0),INDIRECT("'Balance a "&amp;LEFT(AN$1,3)&amp;"'!$B$3:$G$300"),5,0),VLOOKUP(VALUE($B19),INDIRECT("'Balance a "&amp;LEFT(AN$1,3)&amp;"'!$B$3:$G$300"),5,0)),0)</f>
        <v>25.190000000001199</v>
      </c>
      <c r="AS19" s="193">
        <f ca="1">IFERROR(AN19-AP19,0)</f>
        <v>2.578333333333517</v>
      </c>
      <c r="AT19" s="70"/>
      <c r="AU19" s="92">
        <f ca="1">AN19+AO19</f>
        <v>4.1983333333337169</v>
      </c>
      <c r="AV19" s="92"/>
      <c r="AW19" s="91">
        <f ca="1">IFERROR(AY19-AR19,0)</f>
        <v>2.2200000000003008</v>
      </c>
      <c r="AX19" s="92">
        <f t="shared" ca="1" si="141"/>
        <v>29.388333333336021</v>
      </c>
      <c r="AY19" s="93">
        <f ca="1">IFERROR(IFERROR(VLOOKUP(TEXT($B19,0),INDIRECT("'Balance a "&amp;LEFT(AU$1,3)&amp;"'!$B$3:$G$300"),5,0),VLOOKUP(VALUE($B19),INDIRECT("'Balance a "&amp;LEFT(AU$1,3)&amp;"'!$B$3:$G$300"),5,0)),0)</f>
        <v>27.410000000001499</v>
      </c>
      <c r="AZ19" s="193">
        <f ca="1">IFERROR(AU19-AW19,0)</f>
        <v>1.9783333333334161</v>
      </c>
      <c r="BA19" s="144"/>
      <c r="BB19" s="92">
        <f ca="1">AU19+AV19</f>
        <v>4.1983333333337169</v>
      </c>
      <c r="BC19" s="92"/>
      <c r="BD19" s="91">
        <f ca="1">IFERROR(BF19-AY19,0)</f>
        <v>3.2500000000000995</v>
      </c>
      <c r="BE19" s="92">
        <f t="shared" ca="1" si="142"/>
        <v>33.586666666669736</v>
      </c>
      <c r="BF19" s="93">
        <f ca="1">IFERROR(IFERROR(VLOOKUP(TEXT($B19,0),INDIRECT("'Balance a "&amp;LEFT(BB$1,3)&amp;"'!$B$3:$G$300"),5,0),VLOOKUP(VALUE($B19),INDIRECT("'Balance a "&amp;LEFT(BB$1,3)&amp;"'!$B$3:$G$300"),5,0)),0)</f>
        <v>30.660000000001599</v>
      </c>
      <c r="BG19" s="193">
        <f ca="1">IFERROR(BB19-BD19,0)</f>
        <v>0.94833333333361747</v>
      </c>
      <c r="BH19" s="144"/>
      <c r="BI19" s="92">
        <f ca="1">BB19+BC19</f>
        <v>4.1983333333337169</v>
      </c>
      <c r="BJ19" s="92"/>
      <c r="BK19" s="141">
        <f t="shared" ca="1" si="143"/>
        <v>0</v>
      </c>
      <c r="BL19" s="92">
        <f t="shared" ca="1" si="144"/>
        <v>37.78500000000345</v>
      </c>
      <c r="BM19" s="93">
        <f ca="1">IFERROR(IFERROR(VLOOKUP(TEXT($B19,0),INDIRECT("'Balance a "&amp;LEFT(BI$1,3)&amp;"'!$B$3:$G$300"),5,0),VLOOKUP(VALUE($B19),INDIRECT("'Balance a "&amp;LEFT(BI$1,3)&amp;"'!$B$3:$G$300"),5,0)),0)</f>
        <v>0</v>
      </c>
      <c r="BN19" s="193">
        <f ca="1">IFERROR(BI19-BK19,0)</f>
        <v>4.1983333333337169</v>
      </c>
      <c r="BO19" s="144"/>
      <c r="BP19" s="92">
        <f ca="1">BI19+BJ19</f>
        <v>4.1983333333337169</v>
      </c>
      <c r="BQ19" s="92"/>
      <c r="BR19" s="91">
        <f ca="1">IFERROR(BT19-BM19,0)</f>
        <v>0</v>
      </c>
      <c r="BS19" s="92">
        <f t="shared" ca="1" si="145"/>
        <v>41.983333333337164</v>
      </c>
      <c r="BT19" s="93">
        <f ca="1">IFERROR(IFERROR(VLOOKUP(TEXT($B19,0),INDIRECT("'Balance a "&amp;LEFT(BP$1,3)&amp;"'!$B$3:$G$300"),5,0),VLOOKUP(VALUE($B19),INDIRECT("'Balance a "&amp;LEFT(BP$1,3)&amp;"'!$B$3:$G$300"),5,0)),0)</f>
        <v>0</v>
      </c>
      <c r="BU19" s="193">
        <f ca="1">IFERROR(BP19-BR19,0)</f>
        <v>4.1983333333337169</v>
      </c>
      <c r="BV19" s="144"/>
      <c r="BW19" s="92">
        <f ca="1">BP19+BQ19</f>
        <v>4.1983333333337169</v>
      </c>
      <c r="BX19" s="92"/>
      <c r="BY19" s="91">
        <f ca="1">IFERROR(CA19-BT19,0)</f>
        <v>0</v>
      </c>
      <c r="BZ19" s="92">
        <f t="shared" ca="1" si="146"/>
        <v>46.181666666670878</v>
      </c>
      <c r="CA19" s="93">
        <f ca="1">IFERROR(IFERROR(VLOOKUP(TEXT($B19,0),INDIRECT("'Balance a "&amp;LEFT(BW$1,3)&amp;"'!$B$3:$G$300"),5,0),VLOOKUP(VALUE($B19),INDIRECT("'Balance a "&amp;LEFT(BW$1,3)&amp;"'!$B$3:$G$300"),5,0)),0)</f>
        <v>0</v>
      </c>
      <c r="CB19" s="193">
        <f ca="1">IFERROR(BW19-BY19,0)</f>
        <v>4.1983333333337169</v>
      </c>
      <c r="CC19" s="144"/>
      <c r="CD19" s="92">
        <f ca="1">BW19+BX19</f>
        <v>4.1983333333337169</v>
      </c>
      <c r="CE19" s="92"/>
      <c r="CF19" s="91">
        <f ca="1">IFERROR(CH19-CA19,0)</f>
        <v>0</v>
      </c>
      <c r="CG19" s="92">
        <f t="shared" ca="1" si="147"/>
        <v>50.380000000004593</v>
      </c>
      <c r="CH19" s="93">
        <f ca="1">IFERROR(IFERROR(VLOOKUP(TEXT($B19,0),INDIRECT("'Balance a "&amp;LEFT(CD$1,3)&amp;"'!$B$3:$G$300"),5,0),VLOOKUP(VALUE($B19),INDIRECT("'Balance a "&amp;LEFT(CD$1,3)&amp;"'!$B$3:$G$300"),5,0)),0)</f>
        <v>0</v>
      </c>
      <c r="CI19" s="193">
        <f ca="1">IFERROR(CD19-CF19,0)</f>
        <v>4.1983333333337169</v>
      </c>
    </row>
    <row r="20" spans="1:90" ht="6.95" customHeight="1">
      <c r="A20" s="103"/>
      <c r="B20" s="105"/>
      <c r="C20" s="81"/>
      <c r="D20" s="81"/>
      <c r="E20" s="86"/>
      <c r="F20" s="86"/>
      <c r="G20" s="87"/>
      <c r="H20" s="88"/>
      <c r="I20" s="88"/>
      <c r="J20" s="89"/>
      <c r="K20" s="70"/>
      <c r="L20" s="86"/>
      <c r="M20" s="86"/>
      <c r="N20" s="87"/>
      <c r="O20" s="88"/>
      <c r="P20" s="88"/>
      <c r="Q20" s="89"/>
      <c r="R20" s="70"/>
      <c r="S20" s="86"/>
      <c r="T20" s="86"/>
      <c r="U20" s="87"/>
      <c r="V20" s="88"/>
      <c r="W20" s="88"/>
      <c r="X20" s="89"/>
      <c r="Y20" s="70"/>
      <c r="Z20" s="86"/>
      <c r="AA20" s="86"/>
      <c r="AB20" s="87"/>
      <c r="AC20" s="88"/>
      <c r="AD20" s="88"/>
      <c r="AE20" s="89"/>
      <c r="AF20" s="70"/>
      <c r="AG20" s="86"/>
      <c r="AH20" s="86"/>
      <c r="AI20" s="87"/>
      <c r="AJ20" s="88"/>
      <c r="AK20" s="88"/>
      <c r="AL20" s="89"/>
      <c r="AM20" s="70"/>
      <c r="AN20" s="86"/>
      <c r="AO20" s="86"/>
      <c r="AP20" s="87"/>
      <c r="AQ20" s="88"/>
      <c r="AR20" s="88"/>
      <c r="AS20" s="89"/>
      <c r="AT20" s="70"/>
      <c r="AU20" s="86"/>
      <c r="AV20" s="86"/>
      <c r="AW20" s="87"/>
      <c r="AX20" s="88"/>
      <c r="AY20" s="88"/>
      <c r="AZ20" s="89"/>
      <c r="BA20" s="144"/>
      <c r="BB20" s="86"/>
      <c r="BC20" s="86"/>
      <c r="BD20" s="87"/>
      <c r="BE20" s="88"/>
      <c r="BF20" s="88"/>
      <c r="BG20" s="89"/>
      <c r="BH20" s="144"/>
      <c r="BI20" s="86"/>
      <c r="BJ20" s="86"/>
      <c r="BK20" s="87"/>
      <c r="BL20" s="88"/>
      <c r="BM20" s="88"/>
      <c r="BN20" s="89"/>
      <c r="BO20" s="144"/>
      <c r="BP20" s="86"/>
      <c r="BQ20" s="86"/>
      <c r="BR20" s="87"/>
      <c r="BS20" s="88"/>
      <c r="BT20" s="88"/>
      <c r="BU20" s="89"/>
      <c r="BV20" s="144"/>
      <c r="BW20" s="86"/>
      <c r="BX20" s="86"/>
      <c r="BY20" s="87"/>
      <c r="BZ20" s="88"/>
      <c r="CA20" s="88"/>
      <c r="CB20" s="89"/>
      <c r="CC20" s="144"/>
      <c r="CD20" s="145"/>
      <c r="CE20" s="145"/>
      <c r="CF20" s="146"/>
      <c r="CG20" s="147"/>
      <c r="CH20" s="147"/>
      <c r="CI20" s="148"/>
      <c r="CJ20" s="69"/>
      <c r="CK20" s="69"/>
      <c r="CL20" s="69"/>
    </row>
    <row r="21" spans="1:90" s="2" customFormat="1">
      <c r="A21" s="255" t="s">
        <v>109</v>
      </c>
      <c r="B21" s="255"/>
      <c r="C21" s="213">
        <f t="shared" ref="C21:CH21" ca="1" si="174">SUM(C22:C22)</f>
        <v>18403.279999999941</v>
      </c>
      <c r="D21" s="73"/>
      <c r="E21" s="228">
        <f t="shared" ca="1" si="174"/>
        <v>1533.6066666666618</v>
      </c>
      <c r="F21" s="228"/>
      <c r="G21" s="194">
        <f t="shared" ca="1" si="174"/>
        <v>1285.3900000000001</v>
      </c>
      <c r="H21" s="194">
        <f t="shared" ca="1" si="174"/>
        <v>1533.6066666666618</v>
      </c>
      <c r="I21" s="194">
        <f t="shared" ca="1" si="174"/>
        <v>1285.3900000000001</v>
      </c>
      <c r="J21" s="194">
        <f ca="1">SUM(J22:J22)</f>
        <v>248.21666666666169</v>
      </c>
      <c r="K21" s="72"/>
      <c r="L21" s="228">
        <f t="shared" ca="1" si="174"/>
        <v>1533.6066666666618</v>
      </c>
      <c r="M21" s="228"/>
      <c r="N21" s="194">
        <f t="shared" ca="1" si="174"/>
        <v>1720.28</v>
      </c>
      <c r="O21" s="194">
        <f t="shared" ca="1" si="174"/>
        <v>3067.2133333333236</v>
      </c>
      <c r="P21" s="194">
        <f t="shared" ca="1" si="174"/>
        <v>3005.67</v>
      </c>
      <c r="Q21" s="194">
        <f ca="1">SUM(Q22:Q22)</f>
        <v>-186.67333333333818</v>
      </c>
      <c r="R21" s="72"/>
      <c r="S21" s="228">
        <f t="shared" ca="1" si="174"/>
        <v>1533.6066666666618</v>
      </c>
      <c r="T21" s="228"/>
      <c r="U21" s="194">
        <f t="shared" ca="1" si="174"/>
        <v>1901.1400000000003</v>
      </c>
      <c r="V21" s="194">
        <f t="shared" ca="1" si="174"/>
        <v>4600.8199999999852</v>
      </c>
      <c r="W21" s="194">
        <f t="shared" ca="1" si="174"/>
        <v>4906.8100000000004</v>
      </c>
      <c r="X21" s="194">
        <f ca="1">SUM(X22:X22)</f>
        <v>-367.53333333333853</v>
      </c>
      <c r="Y21" s="72"/>
      <c r="Z21" s="228">
        <f t="shared" ca="1" si="174"/>
        <v>1533.6066666666618</v>
      </c>
      <c r="AA21" s="228"/>
      <c r="AB21" s="194">
        <f t="shared" ca="1" si="174"/>
        <v>1621.2599999999993</v>
      </c>
      <c r="AC21" s="194">
        <f t="shared" ca="1" si="174"/>
        <v>6134.4266666666472</v>
      </c>
      <c r="AD21" s="194">
        <f t="shared" ca="1" si="174"/>
        <v>6528.07</v>
      </c>
      <c r="AE21" s="194">
        <f ca="1">SUM(AE22:AE22)</f>
        <v>-87.653333333337514</v>
      </c>
      <c r="AF21" s="72"/>
      <c r="AG21" s="228">
        <f t="shared" ca="1" si="174"/>
        <v>1533.6066666666618</v>
      </c>
      <c r="AH21" s="228"/>
      <c r="AI21" s="194">
        <f t="shared" ca="1" si="174"/>
        <v>1272.7400000000007</v>
      </c>
      <c r="AJ21" s="194">
        <f t="shared" ca="1" si="174"/>
        <v>7668.0333333333092</v>
      </c>
      <c r="AK21" s="194">
        <f t="shared" ca="1" si="174"/>
        <v>7800.81</v>
      </c>
      <c r="AL21" s="194">
        <f ca="1">SUM(AL22:AL22)</f>
        <v>260.8666666666611</v>
      </c>
      <c r="AM21" s="72"/>
      <c r="AN21" s="228">
        <f t="shared" ca="1" si="174"/>
        <v>1533.6066666666618</v>
      </c>
      <c r="AO21" s="228"/>
      <c r="AP21" s="194">
        <f t="shared" ca="1" si="174"/>
        <v>1400.829999999999</v>
      </c>
      <c r="AQ21" s="194">
        <f t="shared" ca="1" si="174"/>
        <v>9201.6399999999703</v>
      </c>
      <c r="AR21" s="194">
        <f t="shared" ca="1" si="174"/>
        <v>9201.64</v>
      </c>
      <c r="AS21" s="194">
        <f ca="1">SUM(AS22:AS22)</f>
        <v>132.77666666666278</v>
      </c>
      <c r="AT21" s="72"/>
      <c r="AU21" s="228">
        <f t="shared" ca="1" si="174"/>
        <v>1533.6066666666618</v>
      </c>
      <c r="AV21" s="228"/>
      <c r="AW21" s="194">
        <f t="shared" ca="1" si="174"/>
        <v>917.51000000000022</v>
      </c>
      <c r="AX21" s="194">
        <f t="shared" ca="1" si="174"/>
        <v>10735.246666666631</v>
      </c>
      <c r="AY21" s="194">
        <f t="shared" ca="1" si="174"/>
        <v>10119.15</v>
      </c>
      <c r="AZ21" s="194">
        <f ca="1">SUM(AZ22:AZ22)</f>
        <v>616.09666666666158</v>
      </c>
      <c r="BA21" s="149"/>
      <c r="BB21" s="228">
        <f t="shared" ca="1" si="174"/>
        <v>1533.6066666666618</v>
      </c>
      <c r="BC21" s="228"/>
      <c r="BD21" s="194">
        <f t="shared" ca="1" si="174"/>
        <v>1541.9700000000012</v>
      </c>
      <c r="BE21" s="194">
        <f t="shared" ca="1" si="174"/>
        <v>12268.853333333293</v>
      </c>
      <c r="BF21" s="194">
        <f t="shared" ca="1" si="174"/>
        <v>11661.12</v>
      </c>
      <c r="BG21" s="194">
        <f ca="1">SUM(BG22:BG22)</f>
        <v>-8.3633333333393693</v>
      </c>
      <c r="BH21" s="149"/>
      <c r="BI21" s="228">
        <f t="shared" ca="1" si="174"/>
        <v>1533.6066666666618</v>
      </c>
      <c r="BJ21" s="228"/>
      <c r="BK21" s="194">
        <f t="shared" ca="1" si="174"/>
        <v>0</v>
      </c>
      <c r="BL21" s="194">
        <f t="shared" ca="1" si="174"/>
        <v>13802.459999999954</v>
      </c>
      <c r="BM21" s="194">
        <f t="shared" ca="1" si="174"/>
        <v>0</v>
      </c>
      <c r="BN21" s="194">
        <f ca="1">SUM(BN22:BN22)</f>
        <v>1533.6066666666618</v>
      </c>
      <c r="BO21" s="149"/>
      <c r="BP21" s="228">
        <f t="shared" ca="1" si="174"/>
        <v>1533.6066666666618</v>
      </c>
      <c r="BQ21" s="228"/>
      <c r="BR21" s="194">
        <f t="shared" ca="1" si="174"/>
        <v>0</v>
      </c>
      <c r="BS21" s="194">
        <f t="shared" ca="1" si="174"/>
        <v>15336.066666666615</v>
      </c>
      <c r="BT21" s="194">
        <f t="shared" ca="1" si="174"/>
        <v>0</v>
      </c>
      <c r="BU21" s="194">
        <f ca="1">SUM(BU22:BU22)</f>
        <v>1533.6066666666618</v>
      </c>
      <c r="BV21" s="149"/>
      <c r="BW21" s="228">
        <f t="shared" ca="1" si="174"/>
        <v>1533.6066666666618</v>
      </c>
      <c r="BX21" s="228"/>
      <c r="BY21" s="194">
        <f t="shared" ca="1" si="174"/>
        <v>0</v>
      </c>
      <c r="BZ21" s="194">
        <f t="shared" ca="1" si="174"/>
        <v>16869.673333333278</v>
      </c>
      <c r="CA21" s="194">
        <f t="shared" ca="1" si="174"/>
        <v>0</v>
      </c>
      <c r="CB21" s="194">
        <f ca="1">SUM(CB22:CB22)</f>
        <v>1533.6066666666618</v>
      </c>
      <c r="CC21" s="149"/>
      <c r="CD21" s="228">
        <f t="shared" ca="1" si="174"/>
        <v>1533.6066666666618</v>
      </c>
      <c r="CE21" s="228"/>
      <c r="CF21" s="194">
        <f t="shared" ca="1" si="174"/>
        <v>0</v>
      </c>
      <c r="CG21" s="194">
        <f t="shared" ca="1" si="174"/>
        <v>18403.279999999941</v>
      </c>
      <c r="CH21" s="194">
        <f t="shared" ca="1" si="174"/>
        <v>0</v>
      </c>
      <c r="CI21" s="190">
        <f ca="1">SUM(CI22:CI22)</f>
        <v>1533.6066666666618</v>
      </c>
      <c r="CJ21" s="4"/>
      <c r="CK21" s="4"/>
      <c r="CL21" s="4"/>
    </row>
    <row r="22" spans="1:90" s="6" customFormat="1">
      <c r="A22" s="133" t="s">
        <v>122</v>
      </c>
      <c r="B22" s="63">
        <v>42109501</v>
      </c>
      <c r="C22" s="197">
        <f ca="1">IFERROR(IFERROR(VLOOKUP(TEXT($B22,0),INDIRECT("'Balance a "&amp;LEFT(AN$1,3)&amp;"'!$B$3:$G$300"),6,0)*-1,VLOOKUP(VALUE($B22),INDIRECT("'Balance a "&amp;LEFT(AN$1,3)&amp;"'!$B$3:$G$300"),6,0)*-1),0)*2</f>
        <v>18403.279999999941</v>
      </c>
      <c r="D22" s="78"/>
      <c r="E22" s="92">
        <f ca="1">$C22/COUNTA(E$1:$CI$1)</f>
        <v>1533.6066666666618</v>
      </c>
      <c r="F22" s="92"/>
      <c r="G22" s="91">
        <f ca="1">IFERROR(I22,0)</f>
        <v>1285.3900000000001</v>
      </c>
      <c r="H22" s="92">
        <f ca="1">IFERROR(E22,0)</f>
        <v>1533.6066666666618</v>
      </c>
      <c r="I22" s="93">
        <f ca="1">IFERROR(IFERROR(VLOOKUP(TEXT($B22,0),INDIRECT("'Balance a "&amp;LEFT(E$1,3)&amp;"'!$B$3:$G$300"),5,0),VLOOKUP(VALUE($B22),INDIRECT("'Balance a "&amp;LEFT(E$1,3)&amp;"'!$B$3:$G$300"),5,0)),0)</f>
        <v>1285.3900000000001</v>
      </c>
      <c r="J22" s="193">
        <f ca="1">IFERROR(E22-G22,0)</f>
        <v>248.21666666666169</v>
      </c>
      <c r="K22" s="70"/>
      <c r="L22" s="92">
        <f ca="1">E22+F22</f>
        <v>1533.6066666666618</v>
      </c>
      <c r="M22" s="92"/>
      <c r="N22" s="91">
        <f ca="1">IFERROR(P22-I22,0)</f>
        <v>1720.28</v>
      </c>
      <c r="O22" s="92">
        <f ca="1">SUM(E22:F22,L22:M22)</f>
        <v>3067.2133333333236</v>
      </c>
      <c r="P22" s="93">
        <f ca="1">IFERROR(IFERROR(VLOOKUP(TEXT($B22,0),INDIRECT("'Balance a "&amp;LEFT(L$1,3)&amp;"'!$B$3:$G$300"),5,0),VLOOKUP(VALUE($B22),INDIRECT("'Balance a "&amp;LEFT(L$1,3)&amp;"'!$B$3:$G$300"),5,0)),0)</f>
        <v>3005.67</v>
      </c>
      <c r="Q22" s="193">
        <f ca="1">IFERROR(L22-N22,0)</f>
        <v>-186.67333333333818</v>
      </c>
      <c r="R22" s="70"/>
      <c r="S22" s="92">
        <f ca="1">L22+M22</f>
        <v>1533.6066666666618</v>
      </c>
      <c r="T22" s="92"/>
      <c r="U22" s="91">
        <f ca="1">IFERROR(W22-P22,0)</f>
        <v>1901.1400000000003</v>
      </c>
      <c r="V22" s="92">
        <f t="shared" ref="V22" ca="1" si="175">SUM(E22:F22,L22:M22,S22:T22)</f>
        <v>4600.8199999999852</v>
      </c>
      <c r="W22" s="93">
        <f ca="1">IFERROR(IFERROR(VLOOKUP(TEXT($B22,0),INDIRECT("'Balance a "&amp;LEFT(S$1,3)&amp;"'!$B$3:$G$300"),5,0),VLOOKUP(VALUE($B22),INDIRECT("'Balance a "&amp;LEFT(S$1,3)&amp;"'!$B$3:$G$300"),5,0)),0)</f>
        <v>4906.8100000000004</v>
      </c>
      <c r="X22" s="193">
        <f ca="1">IFERROR(S22-U22,0)</f>
        <v>-367.53333333333853</v>
      </c>
      <c r="Y22" s="70"/>
      <c r="Z22" s="92">
        <f ca="1">S22+T22</f>
        <v>1533.6066666666618</v>
      </c>
      <c r="AA22" s="92"/>
      <c r="AB22" s="91">
        <f ca="1">IFERROR(AD22-W22,0)</f>
        <v>1621.2599999999993</v>
      </c>
      <c r="AC22" s="92">
        <f t="shared" ref="AC22" ca="1" si="176">SUM(E22:F22,L22:M22,S22:T22,Z22:AA22)</f>
        <v>6134.4266666666472</v>
      </c>
      <c r="AD22" s="93">
        <f ca="1">IFERROR(IFERROR(VLOOKUP(TEXT($B22,0),INDIRECT("'Balance a "&amp;LEFT(Z$1,3)&amp;"'!$B$3:$G$300"),5,0),VLOOKUP(VALUE($B22),INDIRECT("'Balance a "&amp;LEFT(Z$1,3)&amp;"'!$B$3:$G$300"),5,0)),0)</f>
        <v>6528.07</v>
      </c>
      <c r="AE22" s="193">
        <f ca="1">IFERROR(Z22-AB22,0)</f>
        <v>-87.653333333337514</v>
      </c>
      <c r="AF22" s="70"/>
      <c r="AG22" s="92">
        <f ca="1">Z22+AA22</f>
        <v>1533.6066666666618</v>
      </c>
      <c r="AH22" s="92"/>
      <c r="AI22" s="91">
        <f ca="1">IFERROR(AK22-AD22,0)</f>
        <v>1272.7400000000007</v>
      </c>
      <c r="AJ22" s="92">
        <f t="shared" ref="AJ22" ca="1" si="177">SUM(E22:F22,L22:M22,S22:T22,Z22:AA22,AG22:AH22)</f>
        <v>7668.0333333333092</v>
      </c>
      <c r="AK22" s="93">
        <f ca="1">IFERROR(IFERROR(VLOOKUP(TEXT($B22,0),INDIRECT("'Balance a "&amp;LEFT(AG$1,3)&amp;"'!$B$3:$G$300"),5,0),VLOOKUP(VALUE($B22),INDIRECT("'Balance a "&amp;LEFT(AG$1,3)&amp;"'!$B$3:$G$300"),5,0)),0)</f>
        <v>7800.81</v>
      </c>
      <c r="AL22" s="193">
        <f ca="1">IFERROR(AG22-AI22,0)</f>
        <v>260.8666666666611</v>
      </c>
      <c r="AM22" s="70"/>
      <c r="AN22" s="92">
        <f ca="1">AG22+AH22</f>
        <v>1533.6066666666618</v>
      </c>
      <c r="AO22" s="92"/>
      <c r="AP22" s="91">
        <f ca="1">IFERROR(AR22-AK22,0)</f>
        <v>1400.829999999999</v>
      </c>
      <c r="AQ22" s="92">
        <f t="shared" ref="AQ22" ca="1" si="178">SUM(E22:F22,L22:M22,S22:T22,Z22:AA22,AG22:AH22,AN22:AO22)</f>
        <v>9201.6399999999703</v>
      </c>
      <c r="AR22" s="93">
        <f ca="1">IFERROR(IFERROR(VLOOKUP(TEXT($B22,0),INDIRECT("'Balance a "&amp;LEFT(AN$1,3)&amp;"'!$B$3:$G$300"),5,0),VLOOKUP(VALUE($B22),INDIRECT("'Balance a "&amp;LEFT(AN$1,3)&amp;"'!$B$3:$G$300"),5,0)),0)</f>
        <v>9201.64</v>
      </c>
      <c r="AS22" s="193">
        <f ca="1">IFERROR(AN22-AP22,0)</f>
        <v>132.77666666666278</v>
      </c>
      <c r="AT22" s="70"/>
      <c r="AU22" s="92">
        <f ca="1">AN22+AO22</f>
        <v>1533.6066666666618</v>
      </c>
      <c r="AV22" s="92"/>
      <c r="AW22" s="91">
        <f ca="1">IFERROR(AY22-AR22,0)</f>
        <v>917.51000000000022</v>
      </c>
      <c r="AX22" s="92">
        <f t="shared" ref="AX22" ca="1" si="179">SUM(E22:F22,L22:M22,S22:T22,Z22:AA22,AG22:AH22,AN22:AO22,AU22:AV22)</f>
        <v>10735.246666666631</v>
      </c>
      <c r="AY22" s="93">
        <f ca="1">IFERROR(IFERROR(VLOOKUP(TEXT($B22,0),INDIRECT("'Balance a "&amp;LEFT(AU$1,3)&amp;"'!$B$3:$G$300"),5,0),VLOOKUP(VALUE($B22),INDIRECT("'Balance a "&amp;LEFT(AU$1,3)&amp;"'!$B$3:$G$300"),5,0)),0)</f>
        <v>10119.15</v>
      </c>
      <c r="AZ22" s="193">
        <f ca="1">IFERROR(AU22-AW22,0)</f>
        <v>616.09666666666158</v>
      </c>
      <c r="BA22" s="144"/>
      <c r="BB22" s="92">
        <f ca="1">AU22+AV22</f>
        <v>1533.6066666666618</v>
      </c>
      <c r="BC22" s="92"/>
      <c r="BD22" s="91">
        <f ca="1">IFERROR(BF22-AY22,0)</f>
        <v>1541.9700000000012</v>
      </c>
      <c r="BE22" s="92">
        <f t="shared" ref="BE22" ca="1" si="180">SUM(E22:F22,L22:M22,S22:T22,Z22:AA22,AG22:AH22,AN22:AO22,AU22:AV22,BB22:BC22)</f>
        <v>12268.853333333293</v>
      </c>
      <c r="BF22" s="93">
        <f ca="1">IFERROR(IFERROR(VLOOKUP(TEXT($B22,0),INDIRECT("'Balance a "&amp;LEFT(BB$1,3)&amp;"'!$B$3:$G$300"),5,0),VLOOKUP(VALUE($B22),INDIRECT("'Balance a "&amp;LEFT(BB$1,3)&amp;"'!$B$3:$G$300"),5,0)),0)</f>
        <v>11661.12</v>
      </c>
      <c r="BG22" s="193">
        <f ca="1">IFERROR(BB22-BD22,0)</f>
        <v>-8.3633333333393693</v>
      </c>
      <c r="BH22" s="144"/>
      <c r="BI22" s="92">
        <f ca="1">BB22+BC22</f>
        <v>1533.6066666666618</v>
      </c>
      <c r="BJ22" s="92"/>
      <c r="BK22" s="141">
        <f t="shared" ref="BK22" ca="1" si="181">IFERROR(IF(BM22=0,0,BM22-BF22),0)</f>
        <v>0</v>
      </c>
      <c r="BL22" s="92">
        <f t="shared" ref="BL22" ca="1" si="182">SUM(E22:F22,L22:M22,S22:T22,Z22:AA22,AG22:AH22,AN22:AO22,AU22:AV22,BB22:BC22,BI22:BJ22)</f>
        <v>13802.459999999954</v>
      </c>
      <c r="BM22" s="93">
        <f ca="1">IFERROR(IFERROR(VLOOKUP(TEXT($B22,0),INDIRECT("'Balance a "&amp;LEFT(BI$1,3)&amp;"'!$B$3:$G$300"),5,0),VLOOKUP(VALUE($B22),INDIRECT("'Balance a "&amp;LEFT(BI$1,3)&amp;"'!$B$3:$G$300"),5,0)),0)</f>
        <v>0</v>
      </c>
      <c r="BN22" s="193">
        <f ca="1">IFERROR(BI22-BK22,0)</f>
        <v>1533.6066666666618</v>
      </c>
      <c r="BO22" s="144"/>
      <c r="BP22" s="92">
        <f ca="1">BI22+BJ22</f>
        <v>1533.6066666666618</v>
      </c>
      <c r="BQ22" s="92"/>
      <c r="BR22" s="91">
        <f ca="1">IFERROR(BT22-BM22,0)</f>
        <v>0</v>
      </c>
      <c r="BS22" s="92">
        <f t="shared" ref="BS22" ca="1" si="183">SUM(E22:F22,L22:M22,S22:T22,Z22:AA22,AG22:AH22,AN22:AO22,AU22:AV22,BB22:BC22,BI22:BJ22,BP22:BQ22)</f>
        <v>15336.066666666615</v>
      </c>
      <c r="BT22" s="93">
        <f ca="1">IFERROR(IFERROR(VLOOKUP(TEXT($B22,0),INDIRECT("'Balance a "&amp;LEFT(BP$1,3)&amp;"'!$B$3:$G$300"),5,0),VLOOKUP(VALUE($B22),INDIRECT("'Balance a "&amp;LEFT(BP$1,3)&amp;"'!$B$3:$G$300"),5,0)),0)</f>
        <v>0</v>
      </c>
      <c r="BU22" s="193">
        <f ca="1">IFERROR(BP22-BR22,0)</f>
        <v>1533.6066666666618</v>
      </c>
      <c r="BV22" s="144"/>
      <c r="BW22" s="92">
        <f ca="1">BP22+BQ22</f>
        <v>1533.6066666666618</v>
      </c>
      <c r="BX22" s="92"/>
      <c r="BY22" s="91">
        <f ca="1">IFERROR(CA22-BT22,0)</f>
        <v>0</v>
      </c>
      <c r="BZ22" s="92">
        <f t="shared" ref="BZ22" ca="1" si="184">SUM(E22:F22,L22:M22,S22:T22,Z22:AA22,AG22:AH22,AN22:AO22,AU22:AV22,BB22:BC22,BI22:BJ22,BP22:BQ22,BW22:BX22)</f>
        <v>16869.673333333278</v>
      </c>
      <c r="CA22" s="93">
        <f ca="1">IFERROR(IFERROR(VLOOKUP(TEXT($B22,0),INDIRECT("'Balance a "&amp;LEFT(BW$1,3)&amp;"'!$B$3:$G$300"),5,0),VLOOKUP(VALUE($B22),INDIRECT("'Balance a "&amp;LEFT(BW$1,3)&amp;"'!$B$3:$G$300"),5,0)),0)</f>
        <v>0</v>
      </c>
      <c r="CB22" s="193">
        <f ca="1">IFERROR(BW22-BY22,0)</f>
        <v>1533.6066666666618</v>
      </c>
      <c r="CC22" s="144"/>
      <c r="CD22" s="92">
        <f ca="1">BW22+BX22</f>
        <v>1533.6066666666618</v>
      </c>
      <c r="CE22" s="92"/>
      <c r="CF22" s="91">
        <f ca="1">IFERROR(CH22-CA22,0)</f>
        <v>0</v>
      </c>
      <c r="CG22" s="92">
        <f t="shared" ref="CG22" ca="1" si="185">SUM(E22:F22,L22:M22,S22:T22,Z22:AA22,AG22:AH22,AN22:AO22,AU22:AV22,BB22:BC22,BI22:BJ22,BP22:BQ22,BW22:BX22,CD22:CE22)</f>
        <v>18403.279999999941</v>
      </c>
      <c r="CH22" s="93">
        <f ca="1">IFERROR(IFERROR(VLOOKUP(TEXT($B22,0),INDIRECT("'Balance a "&amp;LEFT(CD$1,3)&amp;"'!$B$3:$G$300"),5,0),VLOOKUP(VALUE($B22),INDIRECT("'Balance a "&amp;LEFT(CD$1,3)&amp;"'!$B$3:$G$300"),5,0)),0)</f>
        <v>0</v>
      </c>
      <c r="CI22" s="193">
        <f ca="1">IFERROR(CD22-CF22,0)</f>
        <v>1533.6066666666618</v>
      </c>
      <c r="CJ22" s="5"/>
      <c r="CK22" s="5"/>
      <c r="CL22" s="5"/>
    </row>
    <row r="23" spans="1:90" s="1" customFormat="1">
      <c r="B23" s="198"/>
      <c r="C23" s="200"/>
      <c r="D23" s="199"/>
      <c r="E23" s="200"/>
      <c r="F23" s="200"/>
      <c r="G23" s="201"/>
      <c r="H23" s="200"/>
      <c r="I23" s="202"/>
      <c r="J23" s="203"/>
      <c r="K23" s="204"/>
      <c r="L23" s="200"/>
      <c r="M23" s="200"/>
      <c r="N23" s="201"/>
      <c r="O23" s="200"/>
      <c r="P23" s="202"/>
      <c r="Q23" s="203"/>
      <c r="R23" s="204"/>
      <c r="S23" s="200"/>
      <c r="T23" s="200"/>
      <c r="U23" s="201"/>
      <c r="V23" s="200"/>
      <c r="W23" s="202"/>
      <c r="X23" s="203"/>
      <c r="Y23" s="204"/>
      <c r="Z23" s="200"/>
      <c r="AA23" s="200"/>
      <c r="AB23" s="201"/>
      <c r="AC23" s="200"/>
      <c r="AD23" s="202"/>
      <c r="AE23" s="203"/>
      <c r="AF23" s="204"/>
      <c r="AG23" s="200"/>
      <c r="AH23" s="200"/>
      <c r="AI23" s="201"/>
      <c r="AJ23" s="200"/>
      <c r="AK23" s="202"/>
      <c r="AL23" s="203"/>
      <c r="AM23" s="204"/>
      <c r="AN23" s="200"/>
      <c r="AO23" s="200"/>
      <c r="AP23" s="201"/>
      <c r="AQ23" s="200"/>
      <c r="AR23" s="202"/>
      <c r="AS23" s="203"/>
      <c r="AT23" s="204"/>
      <c r="AU23" s="200"/>
      <c r="AV23" s="200"/>
      <c r="AW23" s="201"/>
      <c r="AX23" s="200"/>
      <c r="AY23" s="202"/>
      <c r="AZ23" s="203"/>
      <c r="BA23" s="205"/>
      <c r="BB23" s="200"/>
      <c r="BC23" s="200"/>
      <c r="BD23" s="201"/>
      <c r="BE23" s="200"/>
      <c r="BF23" s="202"/>
      <c r="BG23" s="203"/>
      <c r="BH23" s="205"/>
      <c r="BI23" s="200"/>
      <c r="BJ23" s="200"/>
      <c r="BK23" s="201"/>
      <c r="BL23" s="200"/>
      <c r="BM23" s="202"/>
      <c r="BN23" s="203"/>
      <c r="BO23" s="205"/>
      <c r="BP23" s="200"/>
      <c r="BQ23" s="200"/>
      <c r="BR23" s="201"/>
      <c r="BS23" s="200"/>
      <c r="BT23" s="202"/>
      <c r="BU23" s="203"/>
      <c r="BV23" s="205"/>
      <c r="BW23" s="200"/>
      <c r="BX23" s="200"/>
      <c r="BY23" s="201"/>
      <c r="BZ23" s="200"/>
      <c r="CA23" s="202"/>
      <c r="CB23" s="203"/>
      <c r="CC23" s="205"/>
      <c r="CD23" s="200"/>
      <c r="CE23" s="200"/>
      <c r="CF23" s="201"/>
      <c r="CG23" s="200"/>
      <c r="CH23" s="202"/>
      <c r="CI23" s="203"/>
      <c r="CJ23" s="66"/>
      <c r="CK23" s="66"/>
      <c r="CL23" s="66"/>
    </row>
    <row r="24" spans="1:90" s="2" customFormat="1">
      <c r="A24" s="256" t="s">
        <v>207</v>
      </c>
      <c r="B24" s="256"/>
      <c r="C24" s="206">
        <f ca="1">SUM(C25:C35)</f>
        <v>178377030</v>
      </c>
      <c r="D24" s="73"/>
      <c r="E24" s="234">
        <f>SUM(E25:F35)</f>
        <v>13162349.333333332</v>
      </c>
      <c r="F24" s="234"/>
      <c r="G24" s="187">
        <f ca="1">SUM(G25:G35)</f>
        <v>12943907</v>
      </c>
      <c r="H24" s="187">
        <f>SUM(H25:H35)</f>
        <v>13162349.333333332</v>
      </c>
      <c r="I24" s="187">
        <f ca="1">SUM(I25:I35)</f>
        <v>12943907</v>
      </c>
      <c r="J24" s="187">
        <f ca="1">SUM(J25:J35)</f>
        <v>218442.33333333395</v>
      </c>
      <c r="K24" s="72"/>
      <c r="L24" s="234">
        <f>SUM(L25:M35)</f>
        <v>13162349.333333332</v>
      </c>
      <c r="M24" s="234"/>
      <c r="N24" s="187">
        <f ca="1">SUM(N25:N35)</f>
        <v>15127244</v>
      </c>
      <c r="O24" s="187">
        <f>SUM(O25:O35)</f>
        <v>26324698.666666664</v>
      </c>
      <c r="P24" s="187">
        <f ca="1">SUM(P25:P35)</f>
        <v>28071151</v>
      </c>
      <c r="Q24" s="187">
        <f ca="1">SUM(Q25:Q35)</f>
        <v>-1964894.6666666665</v>
      </c>
      <c r="R24" s="72"/>
      <c r="S24" s="234">
        <f>SUM(S25:T35)</f>
        <v>13252349.333333332</v>
      </c>
      <c r="T24" s="234"/>
      <c r="U24" s="187">
        <f ca="1">SUM(U25:U35)</f>
        <v>15251764</v>
      </c>
      <c r="V24" s="187">
        <f>SUM(V25:V35)</f>
        <v>39577048</v>
      </c>
      <c r="W24" s="187">
        <f ca="1">SUM(W25:W35)</f>
        <v>43322915</v>
      </c>
      <c r="X24" s="187">
        <f ca="1">SUM(X25:X35)</f>
        <v>-1999414.6666666665</v>
      </c>
      <c r="Y24" s="72"/>
      <c r="Z24" s="234">
        <f>SUM(Z25:AA35)</f>
        <v>13492349.333333332</v>
      </c>
      <c r="AA24" s="234"/>
      <c r="AB24" s="187">
        <f ca="1">SUM(AB25:AB35)</f>
        <v>15496426</v>
      </c>
      <c r="AC24" s="187">
        <f>SUM(AC25:AC35)</f>
        <v>53069397.333333328</v>
      </c>
      <c r="AD24" s="187">
        <f ca="1">SUM(AD25:AD35)</f>
        <v>58819341</v>
      </c>
      <c r="AE24" s="187">
        <f ca="1">SUM(AE25:AE35)</f>
        <v>-2004076.6666666665</v>
      </c>
      <c r="AF24" s="72"/>
      <c r="AG24" s="234">
        <f>SUM(AG25:AH35)</f>
        <v>13492349.333333332</v>
      </c>
      <c r="AH24" s="234"/>
      <c r="AI24" s="187">
        <f ca="1">SUM(AI25:AI35)</f>
        <v>15583817</v>
      </c>
      <c r="AJ24" s="187">
        <f>SUM(AJ25:AJ35)</f>
        <v>66561746.666666672</v>
      </c>
      <c r="AK24" s="187">
        <f ca="1">SUM(AK25:AK35)</f>
        <v>74403158</v>
      </c>
      <c r="AL24" s="187">
        <f ca="1">SUM(AL25:AL35)</f>
        <v>-2091467.6666666665</v>
      </c>
      <c r="AM24" s="72"/>
      <c r="AN24" s="234">
        <f>SUM(AN25:AO35)</f>
        <v>13492349.333333332</v>
      </c>
      <c r="AO24" s="234"/>
      <c r="AP24" s="187">
        <f ca="1">SUM(AP25:AP35)</f>
        <v>14785357</v>
      </c>
      <c r="AQ24" s="187">
        <f>SUM(AQ25:AQ35)</f>
        <v>80054096</v>
      </c>
      <c r="AR24" s="187">
        <f ca="1">SUM(AR25:AR35)</f>
        <v>89188515</v>
      </c>
      <c r="AS24" s="187">
        <f ca="1">SUM(AS25:AS35)</f>
        <v>-1293007.6666666665</v>
      </c>
      <c r="AT24" s="72"/>
      <c r="AU24" s="229">
        <f>SUM(AU25:AV36)</f>
        <v>13592349.333333332</v>
      </c>
      <c r="AV24" s="229"/>
      <c r="AW24" s="182">
        <f ca="1">SUM(AW25:AW35)</f>
        <v>16222965</v>
      </c>
      <c r="AX24" s="182">
        <f>SUM(AX25:AX35)</f>
        <v>93546445.333333343</v>
      </c>
      <c r="AY24" s="182">
        <f ca="1">SUM(AY25:AY36)</f>
        <v>105411480</v>
      </c>
      <c r="AZ24" s="182">
        <f ca="1">SUM(AZ25:AZ35)</f>
        <v>-2730615.6666666665</v>
      </c>
      <c r="BA24" s="149"/>
      <c r="BB24" s="229">
        <f>SUM(BB25:BC36)</f>
        <v>13592349.333333332</v>
      </c>
      <c r="BC24" s="229"/>
      <c r="BD24" s="182">
        <f ca="1">SUM(BD25:BD35)</f>
        <v>15583817</v>
      </c>
      <c r="BE24" s="182">
        <f>SUM(BE25:BE35)</f>
        <v>107038794.66666666</v>
      </c>
      <c r="BF24" s="182">
        <f ca="1">SUM(BF25:BF36)</f>
        <v>120995297</v>
      </c>
      <c r="BG24" s="189">
        <f ca="1">SUM(BG25:BG35)</f>
        <v>-2091467.6666666665</v>
      </c>
      <c r="BH24" s="149"/>
      <c r="BI24" s="229">
        <f>SUM(BI25:BJ36)</f>
        <v>13592349.333333332</v>
      </c>
      <c r="BJ24" s="229"/>
      <c r="BK24" s="182">
        <f ca="1">SUM(BK25:BK35)</f>
        <v>0</v>
      </c>
      <c r="BL24" s="182">
        <f>SUM(BL25:BL35)</f>
        <v>120531144</v>
      </c>
      <c r="BM24" s="182">
        <f ca="1">SUM(BM25:BM36)</f>
        <v>0</v>
      </c>
      <c r="BN24" s="189">
        <f ca="1">SUM(BN25:BN35)</f>
        <v>13492349.333333332</v>
      </c>
      <c r="BO24" s="149"/>
      <c r="BP24" s="229">
        <f>SUM(BP25:BQ36)</f>
        <v>13592349.333333332</v>
      </c>
      <c r="BQ24" s="229"/>
      <c r="BR24" s="182">
        <f ca="1">SUM(BR25:BR35)</f>
        <v>0</v>
      </c>
      <c r="BS24" s="182">
        <f>SUM(BS25:BS35)</f>
        <v>134023493.33333334</v>
      </c>
      <c r="BT24" s="182">
        <f ca="1">SUM(BT25:BT36)</f>
        <v>0</v>
      </c>
      <c r="BU24" s="189">
        <f ca="1">SUM(BU25:BU35)</f>
        <v>13492349.333333332</v>
      </c>
      <c r="BV24" s="149"/>
      <c r="BW24" s="229">
        <f>SUM(BW25:BX36)</f>
        <v>13592349.333333332</v>
      </c>
      <c r="BX24" s="229"/>
      <c r="BY24" s="182">
        <f ca="1">SUM(BY25:BY35)</f>
        <v>0</v>
      </c>
      <c r="BZ24" s="182">
        <f>SUM(BZ25:BZ35)</f>
        <v>147515842.66666669</v>
      </c>
      <c r="CA24" s="182">
        <f ca="1">SUM(CA25:CA36)</f>
        <v>0</v>
      </c>
      <c r="CB24" s="189">
        <f ca="1">SUM(CB25:CB35)</f>
        <v>13492349.333333332</v>
      </c>
      <c r="CC24" s="149"/>
      <c r="CD24" s="229">
        <f>SUM(CD25:CE36)</f>
        <v>13592349.333333332</v>
      </c>
      <c r="CE24" s="229"/>
      <c r="CF24" s="182">
        <f ca="1">SUM(CF25:CF35)</f>
        <v>0</v>
      </c>
      <c r="CG24" s="182">
        <f>SUM(CG25:CG35)</f>
        <v>161008192</v>
      </c>
      <c r="CH24" s="182">
        <f ca="1">SUM(CH25:CH36)</f>
        <v>0</v>
      </c>
      <c r="CI24" s="189">
        <f ca="1">SUM(CI25:CI35)</f>
        <v>13492349.333333332</v>
      </c>
      <c r="CJ24" s="4"/>
      <c r="CK24" s="4"/>
      <c r="CL24" s="4"/>
    </row>
    <row r="25" spans="1:90">
      <c r="A25" s="207" t="s">
        <v>100</v>
      </c>
      <c r="B25" s="62">
        <v>72050601</v>
      </c>
      <c r="C25" s="208">
        <f ca="1">IFERROR(IFERROR(VLOOKUP(TEXT($B25,0),INDIRECT("'Balance a "&amp;LEFT(AN$1,3)&amp;"'!$B$3:$G$300"),6,0),VLOOKUP(VALUE($B25),INDIRECT("'Balance a "&amp;LEFT(AN$1,3)&amp;"'!$B$3:$G$300"),6,0)),0)*2</f>
        <v>104656668</v>
      </c>
      <c r="E25" s="126">
        <v>8900000</v>
      </c>
      <c r="F25" s="126"/>
      <c r="G25" s="97">
        <f ca="1">IFERROR(I25,0)</f>
        <v>6823334</v>
      </c>
      <c r="H25" s="98">
        <f t="shared" ref="H25" si="186">E25</f>
        <v>8900000</v>
      </c>
      <c r="I25" s="57">
        <f ca="1">IFERROR(IFERROR(VLOOKUP(TEXT($B25,0),INDIRECT("'Balance a "&amp;LEFT(E$1,3)&amp;"'!$B$3:$G$300"),4,0),VLOOKUP(VALUE($B25),INDIRECT("'Balance a "&amp;LEFT(E$1,3)&amp;"'!$B$3:$G$300"),4,0)),0)</f>
        <v>6823334</v>
      </c>
      <c r="J25" s="188">
        <f ca="1">IFERROR(SUM(E25:F25)-G25,0)</f>
        <v>2076666</v>
      </c>
      <c r="K25" s="70"/>
      <c r="L25" s="126">
        <f>E25</f>
        <v>8900000</v>
      </c>
      <c r="M25" s="126"/>
      <c r="N25" s="97">
        <f ca="1">P25-I25</f>
        <v>8900000</v>
      </c>
      <c r="O25" s="98">
        <f>SUM(E25:F25,L25:M25)</f>
        <v>17800000</v>
      </c>
      <c r="P25" s="57">
        <f ca="1">IFERROR(IFERROR(VLOOKUP(TEXT($B25,0),INDIRECT("'Balance a "&amp;LEFT(L$1,3)&amp;"'!$B$3:$G$300"),4,0),VLOOKUP(VALUE($B25),INDIRECT("'Balance a "&amp;LEFT(L$1,3)&amp;"'!$B$3:$G$300"),4,0)),0)</f>
        <v>15723334</v>
      </c>
      <c r="Q25" s="188">
        <f ca="1">IFERROR(SUM(L25:M25)-N25,0)</f>
        <v>0</v>
      </c>
      <c r="R25" s="70"/>
      <c r="S25" s="126">
        <f>L25+M25</f>
        <v>8900000</v>
      </c>
      <c r="T25" s="126">
        <v>90000</v>
      </c>
      <c r="U25" s="97">
        <f ca="1">W25-P25</f>
        <v>8990000</v>
      </c>
      <c r="V25" s="97">
        <f t="shared" ref="V25:V36" si="187">SUM(E25:F25,L25:M25,S25:T25)</f>
        <v>26790000</v>
      </c>
      <c r="W25" s="57">
        <f ca="1">IFERROR(IFERROR(VLOOKUP(TEXT($B25,0),INDIRECT("'Balance a "&amp;LEFT(S$1,3)&amp;"'!$B$3:$G$300"),4,0),VLOOKUP(VALUE($B25),INDIRECT("'Balance a "&amp;LEFT(S$1,3)&amp;"'!$B$3:$G$300"),4,0)),0)</f>
        <v>24713334</v>
      </c>
      <c r="X25" s="188">
        <f ca="1">IFERROR(SUM(S25:T25)-U25,0)</f>
        <v>0</v>
      </c>
      <c r="Y25" s="70"/>
      <c r="Z25" s="126">
        <f>S25+T25</f>
        <v>8990000</v>
      </c>
      <c r="AA25" s="126">
        <f>'Gastos Proyectados'!F6-'Gastos Proyectados'!D6+'Gastos Proyectados'!F7-'Gastos Proyectados'!D7</f>
        <v>240000</v>
      </c>
      <c r="AB25" s="97">
        <f ca="1">AD25-W25</f>
        <v>9155000</v>
      </c>
      <c r="AC25" s="97">
        <f t="shared" ref="AC25:AC36" si="188">SUM(E25:F25,L25:M25,S25:T25,Z25:AA25)</f>
        <v>36020000</v>
      </c>
      <c r="AD25" s="57">
        <f ca="1">IFERROR(IFERROR(VLOOKUP(TEXT($B25,0),INDIRECT("'Balance a "&amp;LEFT(Z$1,3)&amp;"'!$B$3:$G$300"),4,0),VLOOKUP(VALUE($B25),INDIRECT("'Balance a "&amp;LEFT(Z$1,3)&amp;"'!$B$3:$G$300"),4,0)),0)</f>
        <v>33868334</v>
      </c>
      <c r="AE25" s="188">
        <f ca="1">IFERROR(SUM(Z25:AA25)-AB25,0)</f>
        <v>75000</v>
      </c>
      <c r="AF25" s="70"/>
      <c r="AG25" s="126">
        <f>Z25+AA25</f>
        <v>9230000</v>
      </c>
      <c r="AH25" s="126"/>
      <c r="AI25" s="97">
        <f ca="1">IFERROR(AK25-AD25,0)</f>
        <v>9230000</v>
      </c>
      <c r="AJ25" s="97">
        <f t="shared" ref="AJ25:AJ36" si="189">SUM(E25:F25,L25:M25,S25:T25,Z25:AA25,AG25:AH25)</f>
        <v>45250000</v>
      </c>
      <c r="AK25" s="57">
        <f ca="1">IFERROR(IFERROR(VLOOKUP(TEXT($B25,0),INDIRECT("'Balance a "&amp;LEFT(AG$1,3)&amp;"'!$B$3:$G$300"),4,0),VLOOKUP(VALUE($B25),INDIRECT("'Balance a "&amp;LEFT(AG$1,3)&amp;"'!$B$3:$G$300"),4,0)),0)</f>
        <v>43098334</v>
      </c>
      <c r="AL25" s="188">
        <f ca="1">IFERROR(SUM(AG25:AH25)-AI25,0)</f>
        <v>0</v>
      </c>
      <c r="AM25" s="70"/>
      <c r="AN25" s="126">
        <f>AG25+AH25</f>
        <v>9230000</v>
      </c>
      <c r="AO25" s="126"/>
      <c r="AP25" s="97">
        <f ca="1">IFERROR(AR25-AK25,0)</f>
        <v>9230000</v>
      </c>
      <c r="AQ25" s="97">
        <f t="shared" ref="AQ25:AQ36" si="190">SUM(E25:F25,L25:M25,S25:T25,Z25:AA25,AG25:AH25,AN25:AO25)</f>
        <v>54480000</v>
      </c>
      <c r="AR25" s="57">
        <f ca="1">IFERROR(IFERROR(VLOOKUP(TEXT($B25,0),INDIRECT("'Balance a "&amp;LEFT(AN$1,3)&amp;"'!$B$3:$G$300"),4,0),VLOOKUP(VALUE($B25),INDIRECT("'Balance a "&amp;LEFT(AN$1,3)&amp;"'!$B$3:$G$300"),4,0)),0)</f>
        <v>52328334</v>
      </c>
      <c r="AS25" s="188">
        <f ca="1">IFERROR(SUM(AN25:AO25)-AP25,0)</f>
        <v>0</v>
      </c>
      <c r="AT25" s="70"/>
      <c r="AU25" s="126">
        <f>AN25+AO25</f>
        <v>9230000</v>
      </c>
      <c r="AV25" s="126"/>
      <c r="AW25" s="126">
        <f ca="1">IFERROR(AY25-AR25,0)</f>
        <v>9722917</v>
      </c>
      <c r="AX25" s="126">
        <f t="shared" ref="AX25:AX36" si="191">SUM(E25:F25,L25:M25,S25:T25,Z25:AA25,AG25:AH25,AN25:AO25,AU25:AV25)</f>
        <v>63710000</v>
      </c>
      <c r="AY25" s="151">
        <f ca="1">IFERROR(IFERROR(VLOOKUP(TEXT($B25,0),INDIRECT("'Balance a "&amp;LEFT(AU$1,3)&amp;"'!$B$3:$G$300"),6,0),VLOOKUP(VALUE($B25),INDIRECT("'Balance a "&amp;LEFT(AU$1,3)&amp;"'!$B$3:$G$300"),6,0)),0)</f>
        <v>62051251</v>
      </c>
      <c r="AZ25" s="188">
        <f ca="1">IFERROR(SUM(AU25:AV25)-AW25,0)</f>
        <v>-492917</v>
      </c>
      <c r="BA25" s="144"/>
      <c r="BB25" s="126">
        <f>AU25+AV25</f>
        <v>9230000</v>
      </c>
      <c r="BC25" s="126"/>
      <c r="BD25" s="97">
        <f ca="1">IFERROR(BF25-AY25,0)</f>
        <v>9230000</v>
      </c>
      <c r="BE25" s="97">
        <f t="shared" ref="BE25:BE36" si="192">SUM(E25:F25,L25:M25,S25:T25,Z25:AA25,AG25:AH25,AN25:AO25,AU25:AV25,BB25:BC25)</f>
        <v>72940000</v>
      </c>
      <c r="BF25" s="151">
        <f ca="1">IFERROR(IFERROR(VLOOKUP(TEXT($B25,0),INDIRECT("'Balance a "&amp;LEFT(BB$1,3)&amp;"'!$B$3:$G$300"),6,0),VLOOKUP(VALUE($B25),INDIRECT("'Balance a "&amp;LEFT(BB$1,3)&amp;"'!$B$3:$G$300"),6,0)),0)</f>
        <v>71281251</v>
      </c>
      <c r="BG25" s="188">
        <f ca="1">IFERROR(SUM(BB25:BC25)-BD25,0)</f>
        <v>0</v>
      </c>
      <c r="BH25" s="144"/>
      <c r="BI25" s="126">
        <f>BB25+BC25</f>
        <v>9230000</v>
      </c>
      <c r="BJ25" s="126"/>
      <c r="BK25" s="97">
        <f t="shared" ref="BK25:BK36" ca="1" si="193">IFERROR(IF(BM25=0,0,BM25-BF25),0)</f>
        <v>0</v>
      </c>
      <c r="BL25" s="97">
        <f t="shared" ref="BL25:BL36" si="194">SUM(E25:F25,L25:M25,S25:T25,Z25:AA25,AG25:AH25,AN25:AO25,AU25:AV25,BB25:BC25,BI25:BJ25)</f>
        <v>82170000</v>
      </c>
      <c r="BM25" s="151">
        <f ca="1">IFERROR(IFERROR(VLOOKUP(TEXT($B25,0),INDIRECT("'Balance a "&amp;LEFT(BI$1,3)&amp;"'!$B$3:$G$300"),6,0),VLOOKUP(VALUE($B25),INDIRECT("'Balance a "&amp;LEFT(BI$1,3)&amp;"'!$B$3:$G$300"),6,0)),0)</f>
        <v>0</v>
      </c>
      <c r="BN25" s="188">
        <f ca="1">IFERROR(SUM(BI25:BJ25)-BK25,0)</f>
        <v>9230000</v>
      </c>
      <c r="BO25" s="144"/>
      <c r="BP25" s="126">
        <f>BI25+BJ25</f>
        <v>9230000</v>
      </c>
      <c r="BQ25" s="126"/>
      <c r="BR25" s="97">
        <f ca="1">IFERROR(BT25-BM25,0)</f>
        <v>0</v>
      </c>
      <c r="BS25" s="97">
        <f t="shared" ref="BS25:BS36" si="195">SUM(E25:F25,L25:M25,S25:T25,Z25:AA25,AG25:AH25,AN25:AO25,AU25:AV25,BB25:BC25,BI25:BJ25,BP25:BQ25)</f>
        <v>91400000</v>
      </c>
      <c r="BT25" s="151">
        <f ca="1">IFERROR(IFERROR(VLOOKUP(TEXT($B25,0),INDIRECT("'Balance a "&amp;LEFT(BP$1,3)&amp;"'!$B$3:$G$300"),6,0),VLOOKUP(VALUE($B25),INDIRECT("'Balance a "&amp;LEFT(BP$1,3)&amp;"'!$B$3:$G$300"),6,0)),0)</f>
        <v>0</v>
      </c>
      <c r="BU25" s="188">
        <f ca="1">IFERROR(SUM(BP25:BQ25)-BR25,0)</f>
        <v>9230000</v>
      </c>
      <c r="BV25" s="144"/>
      <c r="BW25" s="126">
        <f>BP25+BQ25</f>
        <v>9230000</v>
      </c>
      <c r="BX25" s="126"/>
      <c r="BY25" s="97">
        <f ca="1">IFERROR(CA25-BT25,0)</f>
        <v>0</v>
      </c>
      <c r="BZ25" s="97">
        <f t="shared" ref="BZ25:BZ36" si="196">SUM(E25:F25,L25:M25,S25:T25,Z25:AA25,AG25:AH25,AN25:AO25,AU25:AV25,BB25:BC25,BI25:BJ25,BP25:BQ25,BW25:BX25)</f>
        <v>100630000</v>
      </c>
      <c r="CA25" s="151">
        <f ca="1">IFERROR(IFERROR(VLOOKUP(TEXT($B25,0),INDIRECT("'Balance a "&amp;LEFT(BW$1,3)&amp;"'!$B$3:$G$300"),6,0),VLOOKUP(VALUE($B25),INDIRECT("'Balance a "&amp;LEFT(BW$1,3)&amp;"'!$B$3:$G$300"),6,0)),0)</f>
        <v>0</v>
      </c>
      <c r="CB25" s="188">
        <f ca="1">IFERROR(SUM(BW25:BX25)-BY25,0)</f>
        <v>9230000</v>
      </c>
      <c r="CC25" s="144"/>
      <c r="CD25" s="126">
        <f>BW25+BX25</f>
        <v>9230000</v>
      </c>
      <c r="CE25" s="126"/>
      <c r="CF25" s="97">
        <f ca="1">IFERROR(CH25-CA25,0)</f>
        <v>0</v>
      </c>
      <c r="CG25" s="97">
        <f t="shared" ref="CG25:CG36" si="197">SUM(E25:F25,L25:M25,S25:T25,Z25:AA25,AG25:AH25,AN25:AO25,AU25:AV25,BB25:BC25,BI25:BJ25,BP25:BQ25,BW25:BX25,CD25:CE25)</f>
        <v>109860000</v>
      </c>
      <c r="CH25" s="151">
        <f ca="1">IFERROR(IFERROR(VLOOKUP(TEXT($B25,0),INDIRECT("'Balance a "&amp;LEFT(CD$1,3)&amp;"'!$B$3:$G$300"),6,0),VLOOKUP(VALUE($B25),INDIRECT("'Balance a "&amp;LEFT(CD$1,3)&amp;"'!$B$3:$G$300"),6,0)),0)</f>
        <v>0</v>
      </c>
      <c r="CI25" s="188">
        <f ca="1">IFERROR(SUM(CD25:CE25)-CF25,0)</f>
        <v>9230000</v>
      </c>
    </row>
    <row r="26" spans="1:90">
      <c r="A26" s="207" t="s">
        <v>101</v>
      </c>
      <c r="B26" s="62">
        <v>72052701</v>
      </c>
      <c r="C26" s="208">
        <f ca="1">IFERROR(IFERROR(VLOOKUP(TEXT($B26,0),INDIRECT("'Balance a "&amp;LEFT(AN$1,3)&amp;"'!$B$3:$G$300"),6,0),VLOOKUP(VALUE($B26),INDIRECT("'Balance a "&amp;LEFT(AN$1,3)&amp;"'!$B$3:$G$300"),6,0)),0)*2</f>
        <v>4004850</v>
      </c>
      <c r="E26" s="126">
        <v>351516</v>
      </c>
      <c r="F26" s="126"/>
      <c r="G26" s="97">
        <f t="shared" ref="G26:G36" ca="1" si="198">IFERROR(I26,0)</f>
        <v>244845</v>
      </c>
      <c r="H26" s="98">
        <f t="shared" ref="H26:H36" si="199">E26</f>
        <v>351516</v>
      </c>
      <c r="I26" s="57">
        <f t="shared" ref="I26:I36" ca="1" si="200">IFERROR(IFERROR(VLOOKUP(TEXT($B26,0),INDIRECT("'Balance a "&amp;LEFT(E$1,3)&amp;"'!$B$3:$G$300"),4,0),VLOOKUP(VALUE($B26),INDIRECT("'Balance a "&amp;LEFT(E$1,3)&amp;"'!$B$3:$G$300"),4,0)),0)</f>
        <v>244845</v>
      </c>
      <c r="J26" s="188">
        <f t="shared" ref="J26:J36" ca="1" si="201">IFERROR(SUM(E26:F26)-G26,0)</f>
        <v>106671</v>
      </c>
      <c r="K26" s="70"/>
      <c r="L26" s="126">
        <f t="shared" ref="L26:L36" si="202">E26</f>
        <v>351516</v>
      </c>
      <c r="M26" s="126"/>
      <c r="N26" s="97">
        <f t="shared" ref="N26:N36" ca="1" si="203">P26-I26</f>
        <v>351516</v>
      </c>
      <c r="O26" s="98">
        <f t="shared" ref="O26:O36" si="204">SUM(E26:F26,L26:M26)</f>
        <v>703032</v>
      </c>
      <c r="P26" s="57">
        <f t="shared" ref="P26:P36" ca="1" si="205">IFERROR(IFERROR(VLOOKUP(TEXT($B26,0),INDIRECT("'Balance a "&amp;LEFT(L$1,3)&amp;"'!$B$3:$G$300"),4,0),VLOOKUP(VALUE($B26),INDIRECT("'Balance a "&amp;LEFT(L$1,3)&amp;"'!$B$3:$G$300"),4,0)),0)</f>
        <v>596361</v>
      </c>
      <c r="Q26" s="188">
        <f t="shared" ref="Q26:Q36" ca="1" si="206">IFERROR(SUM(L26:M26)-N26,0)</f>
        <v>0</v>
      </c>
      <c r="R26" s="70"/>
      <c r="S26" s="126">
        <f t="shared" ref="S26:S36" si="207">L26+M26</f>
        <v>351516</v>
      </c>
      <c r="T26" s="126"/>
      <c r="U26" s="97">
        <f t="shared" ref="U26:U36" ca="1" si="208">W26-P26</f>
        <v>351516</v>
      </c>
      <c r="V26" s="97">
        <f t="shared" si="187"/>
        <v>1054548</v>
      </c>
      <c r="W26" s="57">
        <f t="shared" ref="W26:W36" ca="1" si="209">IFERROR(IFERROR(VLOOKUP(TEXT($B26,0),INDIRECT("'Balance a "&amp;LEFT(S$1,3)&amp;"'!$B$3:$G$300"),4,0),VLOOKUP(VALUE($B26),INDIRECT("'Balance a "&amp;LEFT(S$1,3)&amp;"'!$B$3:$G$300"),4,0)),0)</f>
        <v>947877</v>
      </c>
      <c r="X26" s="188">
        <f t="shared" ref="X26:X36" ca="1" si="210">IFERROR(SUM(S26:T26)-U26,0)</f>
        <v>0</v>
      </c>
      <c r="Y26" s="70"/>
      <c r="Z26" s="126">
        <f t="shared" ref="Z26" si="211">S26+T26</f>
        <v>351516</v>
      </c>
      <c r="AA26" s="126"/>
      <c r="AB26" s="97">
        <f t="shared" ref="AB26" ca="1" si="212">AD26-W26</f>
        <v>351516</v>
      </c>
      <c r="AC26" s="97">
        <f t="shared" si="188"/>
        <v>1406064</v>
      </c>
      <c r="AD26" s="57">
        <f t="shared" ref="AD26" ca="1" si="213">IFERROR(IFERROR(VLOOKUP(TEXT($B26,0),INDIRECT("'Balance a "&amp;LEFT(Z$1,3)&amp;"'!$B$3:$G$300"),4,0),VLOOKUP(VALUE($B26),INDIRECT("'Balance a "&amp;LEFT(Z$1,3)&amp;"'!$B$3:$G$300"),4,0)),0)</f>
        <v>1299393</v>
      </c>
      <c r="AE26" s="188">
        <f t="shared" ref="AE26" ca="1" si="214">IFERROR(SUM(Z26:AA26)-AB26,0)</f>
        <v>0</v>
      </c>
      <c r="AF26" s="70"/>
      <c r="AG26" s="126">
        <f t="shared" ref="AG26:AG36" si="215">Z26+AA26</f>
        <v>351516</v>
      </c>
      <c r="AH26" s="126"/>
      <c r="AI26" s="97">
        <f t="shared" ref="AI26:AI36" ca="1" si="216">IFERROR(AK26-AD26,0)</f>
        <v>351516</v>
      </c>
      <c r="AJ26" s="97">
        <f t="shared" si="189"/>
        <v>1757580</v>
      </c>
      <c r="AK26" s="57">
        <f t="shared" ref="AK26:AK36" ca="1" si="217">IFERROR(IFERROR(VLOOKUP(TEXT($B26,0),INDIRECT("'Balance a "&amp;LEFT(AG$1,3)&amp;"'!$B$3:$G$300"),4,0),VLOOKUP(VALUE($B26),INDIRECT("'Balance a "&amp;LEFT(AG$1,3)&amp;"'!$B$3:$G$300"),4,0)),0)</f>
        <v>1650909</v>
      </c>
      <c r="AL26" s="188">
        <f t="shared" ref="AL26:AL36" ca="1" si="218">IFERROR(SUM(AG26:AH26)-AI26,0)</f>
        <v>0</v>
      </c>
      <c r="AM26" s="70"/>
      <c r="AN26" s="126">
        <f t="shared" ref="AN26:AN36" si="219">AG26+AH26</f>
        <v>351516</v>
      </c>
      <c r="AO26" s="126"/>
      <c r="AP26" s="97">
        <f t="shared" ref="AP26:AP36" ca="1" si="220">IFERROR(AR26-AK26,0)</f>
        <v>351516</v>
      </c>
      <c r="AQ26" s="97">
        <f t="shared" si="190"/>
        <v>2109096</v>
      </c>
      <c r="AR26" s="57">
        <f t="shared" ref="AR26:AR36" ca="1" si="221">IFERROR(IFERROR(VLOOKUP(TEXT($B26,0),INDIRECT("'Balance a "&amp;LEFT(AN$1,3)&amp;"'!$B$3:$G$300"),4,0),VLOOKUP(VALUE($B26),INDIRECT("'Balance a "&amp;LEFT(AN$1,3)&amp;"'!$B$3:$G$300"),4,0)),0)</f>
        <v>2002425</v>
      </c>
      <c r="AS26" s="188">
        <f t="shared" ref="AS26:AS36" ca="1" si="222">IFERROR(SUM(AN26:AO26)-AP26,0)</f>
        <v>0</v>
      </c>
      <c r="AT26" s="70"/>
      <c r="AU26" s="126">
        <f t="shared" ref="AU26:AU36" si="223">AN26+AO26</f>
        <v>351516</v>
      </c>
      <c r="AV26" s="126"/>
      <c r="AW26" s="97">
        <f t="shared" ref="AW26:AW36" ca="1" si="224">IFERROR(AY26-AR26,0)</f>
        <v>351516</v>
      </c>
      <c r="AX26" s="126">
        <f t="shared" si="191"/>
        <v>2460612</v>
      </c>
      <c r="AY26" s="151">
        <f t="shared" ref="AY26:AY36" ca="1" si="225">IFERROR(IFERROR(VLOOKUP(TEXT($B26,0),INDIRECT("'Balance a "&amp;LEFT(AU$1,3)&amp;"'!$B$3:$G$300"),6,0),VLOOKUP(VALUE($B26),INDIRECT("'Balance a "&amp;LEFT(AU$1,3)&amp;"'!$B$3:$G$300"),6,0)),0)</f>
        <v>2353941</v>
      </c>
      <c r="AZ26" s="188">
        <f t="shared" ref="AZ26:AZ36" ca="1" si="226">IFERROR(SUM(AU26:AV26)-AW26,0)</f>
        <v>0</v>
      </c>
      <c r="BA26" s="144"/>
      <c r="BB26" s="126">
        <f t="shared" ref="BB26:BB36" si="227">AU26+AV26</f>
        <v>351516</v>
      </c>
      <c r="BC26" s="126"/>
      <c r="BD26" s="97">
        <f t="shared" ref="BD26:BD36" ca="1" si="228">IFERROR(BF26-AY26,0)</f>
        <v>351516</v>
      </c>
      <c r="BE26" s="97">
        <f t="shared" si="192"/>
        <v>2812128</v>
      </c>
      <c r="BF26" s="151">
        <f t="shared" ref="BF26:BF36" ca="1" si="229">IFERROR(IFERROR(VLOOKUP(TEXT($B26,0),INDIRECT("'Balance a "&amp;LEFT(BB$1,3)&amp;"'!$B$3:$G$300"),6,0),VLOOKUP(VALUE($B26),INDIRECT("'Balance a "&amp;LEFT(BB$1,3)&amp;"'!$B$3:$G$300"),6,0)),0)</f>
        <v>2705457</v>
      </c>
      <c r="BG26" s="188">
        <f t="shared" ref="BG26:BG36" ca="1" si="230">IFERROR(SUM(BB26:BC26)-BD26,0)</f>
        <v>0</v>
      </c>
      <c r="BH26" s="144"/>
      <c r="BI26" s="126">
        <f t="shared" ref="BI26:BI36" si="231">BB26+BC26</f>
        <v>351516</v>
      </c>
      <c r="BJ26" s="126"/>
      <c r="BK26" s="97">
        <f t="shared" ca="1" si="193"/>
        <v>0</v>
      </c>
      <c r="BL26" s="97">
        <f t="shared" si="194"/>
        <v>3163644</v>
      </c>
      <c r="BM26" s="151">
        <f t="shared" ref="BM26:BM36" ca="1" si="232">IFERROR(IFERROR(VLOOKUP(TEXT($B26,0),INDIRECT("'Balance a "&amp;LEFT(BI$1,3)&amp;"'!$B$3:$G$300"),6,0),VLOOKUP(VALUE($B26),INDIRECT("'Balance a "&amp;LEFT(BI$1,3)&amp;"'!$B$3:$G$300"),6,0)),0)</f>
        <v>0</v>
      </c>
      <c r="BN26" s="188">
        <f t="shared" ref="BN26:BN36" ca="1" si="233">IFERROR(SUM(BI26:BJ26)-BK26,0)</f>
        <v>351516</v>
      </c>
      <c r="BO26" s="144"/>
      <c r="BP26" s="126">
        <f t="shared" ref="BP26:BP36" si="234">BI26+BJ26</f>
        <v>351516</v>
      </c>
      <c r="BQ26" s="126"/>
      <c r="BR26" s="97">
        <f t="shared" ref="BR26:BR36" ca="1" si="235">IFERROR(BT26-BM26,0)</f>
        <v>0</v>
      </c>
      <c r="BS26" s="97">
        <f t="shared" si="195"/>
        <v>3515160</v>
      </c>
      <c r="BT26" s="151">
        <f t="shared" ref="BT26:BT36" ca="1" si="236">IFERROR(IFERROR(VLOOKUP(TEXT($B26,0),INDIRECT("'Balance a "&amp;LEFT(BP$1,3)&amp;"'!$B$3:$G$300"),6,0),VLOOKUP(VALUE($B26),INDIRECT("'Balance a "&amp;LEFT(BP$1,3)&amp;"'!$B$3:$G$300"),6,0)),0)</f>
        <v>0</v>
      </c>
      <c r="BU26" s="188">
        <f t="shared" ref="BU26:BU36" ca="1" si="237">IFERROR(SUM(BP26:BQ26)-BR26,0)</f>
        <v>351516</v>
      </c>
      <c r="BV26" s="144"/>
      <c r="BW26" s="126">
        <f t="shared" ref="BW26:BW36" si="238">BP26+BQ26</f>
        <v>351516</v>
      </c>
      <c r="BX26" s="126"/>
      <c r="BY26" s="97">
        <f t="shared" ref="BY26:BY36" ca="1" si="239">IFERROR(CA26-BT26,0)</f>
        <v>0</v>
      </c>
      <c r="BZ26" s="97">
        <f t="shared" si="196"/>
        <v>3866676</v>
      </c>
      <c r="CA26" s="151">
        <f t="shared" ref="CA26:CA36" ca="1" si="240">IFERROR(IFERROR(VLOOKUP(TEXT($B26,0),INDIRECT("'Balance a "&amp;LEFT(BW$1,3)&amp;"'!$B$3:$G$300"),6,0),VLOOKUP(VALUE($B26),INDIRECT("'Balance a "&amp;LEFT(BW$1,3)&amp;"'!$B$3:$G$300"),6,0)),0)</f>
        <v>0</v>
      </c>
      <c r="CB26" s="188">
        <f t="shared" ref="CB26:CB36" ca="1" si="241">IFERROR(SUM(BW26:BX26)-BY26,0)</f>
        <v>351516</v>
      </c>
      <c r="CC26" s="144"/>
      <c r="CD26" s="126">
        <f t="shared" ref="CD26:CD36" si="242">BW26+BX26</f>
        <v>351516</v>
      </c>
      <c r="CE26" s="126"/>
      <c r="CF26" s="97">
        <f t="shared" ref="CF26:CF36" ca="1" si="243">IFERROR(CH26-CA26,0)</f>
        <v>0</v>
      </c>
      <c r="CG26" s="97">
        <f t="shared" si="197"/>
        <v>4218192</v>
      </c>
      <c r="CH26" s="151">
        <f t="shared" ref="CH26:CH36" ca="1" si="244">IFERROR(IFERROR(VLOOKUP(TEXT($B26,0),INDIRECT("'Balance a "&amp;LEFT(CD$1,3)&amp;"'!$B$3:$G$300"),6,0),VLOOKUP(VALUE($B26),INDIRECT("'Balance a "&amp;LEFT(CD$1,3)&amp;"'!$B$3:$G$300"),6,0)),0)</f>
        <v>0</v>
      </c>
      <c r="CI26" s="188">
        <f t="shared" ref="CI26:CI36" ca="1" si="245">IFERROR(SUM(CD26:CE26)-CF26,0)</f>
        <v>351516</v>
      </c>
    </row>
    <row r="27" spans="1:90">
      <c r="A27" s="207" t="s">
        <v>96</v>
      </c>
      <c r="B27" s="62">
        <v>72053001</v>
      </c>
      <c r="C27" s="208">
        <f ca="1">IFERROR(IFERROR(VLOOKUP(TEXT($B27,0),INDIRECT("'Balance a "&amp;LEFT(AN$1,3)&amp;"'!$B$3:$G$300"),6,0),VLOOKUP(VALUE($B27),INDIRECT("'Balance a "&amp;LEFT(AN$1,3)&amp;"'!$B$3:$G$300"),6,0)),0)*2</f>
        <v>9431520</v>
      </c>
      <c r="E27" s="126">
        <v>769166.66666666674</v>
      </c>
      <c r="F27" s="126"/>
      <c r="G27" s="97">
        <f t="shared" ca="1" si="198"/>
        <v>770960</v>
      </c>
      <c r="H27" s="98">
        <f t="shared" si="199"/>
        <v>769166.66666666674</v>
      </c>
      <c r="I27" s="57">
        <f t="shared" ca="1" si="200"/>
        <v>770960</v>
      </c>
      <c r="J27" s="188">
        <f t="shared" ca="1" si="201"/>
        <v>-1793.3333333332557</v>
      </c>
      <c r="K27" s="70"/>
      <c r="L27" s="126">
        <f t="shared" si="202"/>
        <v>769166.66666666674</v>
      </c>
      <c r="M27" s="126"/>
      <c r="N27" s="97">
        <f t="shared" ca="1" si="203"/>
        <v>770960</v>
      </c>
      <c r="O27" s="98">
        <f t="shared" si="204"/>
        <v>1538333.3333333335</v>
      </c>
      <c r="P27" s="57">
        <f t="shared" ca="1" si="205"/>
        <v>1541920</v>
      </c>
      <c r="Q27" s="188">
        <f t="shared" ca="1" si="206"/>
        <v>-1793.3333333332557</v>
      </c>
      <c r="R27" s="70"/>
      <c r="S27" s="126">
        <f t="shared" si="207"/>
        <v>769166.66666666674</v>
      </c>
      <c r="T27" s="126"/>
      <c r="U27" s="97">
        <f t="shared" ca="1" si="208"/>
        <v>778460</v>
      </c>
      <c r="V27" s="97">
        <f t="shared" si="187"/>
        <v>2307500</v>
      </c>
      <c r="W27" s="57">
        <f t="shared" ca="1" si="209"/>
        <v>2320380</v>
      </c>
      <c r="X27" s="188">
        <f t="shared" ca="1" si="210"/>
        <v>-9293.3333333332557</v>
      </c>
      <c r="Y27" s="70"/>
      <c r="Z27" s="126">
        <f t="shared" ref="Z27:Z36" si="246">S27+T27</f>
        <v>769166.66666666674</v>
      </c>
      <c r="AA27" s="126"/>
      <c r="AB27" s="97">
        <f t="shared" ref="AB27:AB36" ca="1" si="247">AD27-W27</f>
        <v>798460</v>
      </c>
      <c r="AC27" s="97">
        <f t="shared" si="188"/>
        <v>3076666.666666667</v>
      </c>
      <c r="AD27" s="57">
        <f t="shared" ref="AD27:AD36" ca="1" si="248">IFERROR(IFERROR(VLOOKUP(TEXT($B27,0),INDIRECT("'Balance a "&amp;LEFT(Z$1,3)&amp;"'!$B$3:$G$300"),4,0),VLOOKUP(VALUE($B27),INDIRECT("'Balance a "&amp;LEFT(Z$1,3)&amp;"'!$B$3:$G$300"),4,0)),0)</f>
        <v>3118840</v>
      </c>
      <c r="AE27" s="188">
        <f t="shared" ref="AE27:AE36" ca="1" si="249">IFERROR(SUM(Z27:AA27)-AB27,0)</f>
        <v>-29293.333333333256</v>
      </c>
      <c r="AF27" s="70"/>
      <c r="AG27" s="126">
        <f t="shared" si="215"/>
        <v>769166.66666666674</v>
      </c>
      <c r="AH27" s="126"/>
      <c r="AI27" s="97">
        <f t="shared" ca="1" si="216"/>
        <v>798460</v>
      </c>
      <c r="AJ27" s="97">
        <f t="shared" si="189"/>
        <v>3845833.333333334</v>
      </c>
      <c r="AK27" s="57">
        <f t="shared" ca="1" si="217"/>
        <v>3917300</v>
      </c>
      <c r="AL27" s="188">
        <f t="shared" ca="1" si="218"/>
        <v>-29293.333333333256</v>
      </c>
      <c r="AM27" s="70"/>
      <c r="AN27" s="126">
        <f t="shared" si="219"/>
        <v>769166.66666666674</v>
      </c>
      <c r="AO27" s="126"/>
      <c r="AP27" s="97">
        <f t="shared" ca="1" si="220"/>
        <v>798460</v>
      </c>
      <c r="AQ27" s="97">
        <f t="shared" si="190"/>
        <v>4615000.0000000009</v>
      </c>
      <c r="AR27" s="57">
        <f t="shared" ca="1" si="221"/>
        <v>4715760</v>
      </c>
      <c r="AS27" s="188">
        <f t="shared" ca="1" si="222"/>
        <v>-29293.333333333256</v>
      </c>
      <c r="AT27" s="70"/>
      <c r="AU27" s="126">
        <f t="shared" si="223"/>
        <v>769166.66666666674</v>
      </c>
      <c r="AV27" s="126"/>
      <c r="AW27" s="97">
        <f t="shared" ca="1" si="224"/>
        <v>839536</v>
      </c>
      <c r="AX27" s="126">
        <f t="shared" si="191"/>
        <v>5384166.6666666679</v>
      </c>
      <c r="AY27" s="151">
        <f t="shared" ca="1" si="225"/>
        <v>5555296</v>
      </c>
      <c r="AZ27" s="188">
        <f t="shared" ca="1" si="226"/>
        <v>-70369.333333333256</v>
      </c>
      <c r="BA27" s="144"/>
      <c r="BB27" s="126">
        <f t="shared" si="227"/>
        <v>769166.66666666674</v>
      </c>
      <c r="BC27" s="126"/>
      <c r="BD27" s="97">
        <f t="shared" ca="1" si="228"/>
        <v>798460</v>
      </c>
      <c r="BE27" s="97">
        <f t="shared" si="192"/>
        <v>6153333.3333333349</v>
      </c>
      <c r="BF27" s="151">
        <f t="shared" ca="1" si="229"/>
        <v>6353756</v>
      </c>
      <c r="BG27" s="188">
        <f t="shared" ca="1" si="230"/>
        <v>-29293.333333333256</v>
      </c>
      <c r="BH27" s="144"/>
      <c r="BI27" s="126">
        <f t="shared" si="231"/>
        <v>769166.66666666674</v>
      </c>
      <c r="BJ27" s="126"/>
      <c r="BK27" s="97">
        <f t="shared" ca="1" si="193"/>
        <v>0</v>
      </c>
      <c r="BL27" s="97">
        <f t="shared" si="194"/>
        <v>6922500.0000000019</v>
      </c>
      <c r="BM27" s="151">
        <f t="shared" ca="1" si="232"/>
        <v>0</v>
      </c>
      <c r="BN27" s="188">
        <f t="shared" ca="1" si="233"/>
        <v>769166.66666666674</v>
      </c>
      <c r="BO27" s="144"/>
      <c r="BP27" s="126">
        <f t="shared" si="234"/>
        <v>769166.66666666674</v>
      </c>
      <c r="BQ27" s="126"/>
      <c r="BR27" s="97">
        <f t="shared" ca="1" si="235"/>
        <v>0</v>
      </c>
      <c r="BS27" s="97">
        <f t="shared" si="195"/>
        <v>7691666.6666666688</v>
      </c>
      <c r="BT27" s="151">
        <f t="shared" ca="1" si="236"/>
        <v>0</v>
      </c>
      <c r="BU27" s="188">
        <f t="shared" ca="1" si="237"/>
        <v>769166.66666666674</v>
      </c>
      <c r="BV27" s="144"/>
      <c r="BW27" s="126">
        <f t="shared" si="238"/>
        <v>769166.66666666674</v>
      </c>
      <c r="BX27" s="126"/>
      <c r="BY27" s="97">
        <f t="shared" ca="1" si="239"/>
        <v>0</v>
      </c>
      <c r="BZ27" s="97">
        <f t="shared" si="196"/>
        <v>8460833.3333333358</v>
      </c>
      <c r="CA27" s="151">
        <f t="shared" ca="1" si="240"/>
        <v>0</v>
      </c>
      <c r="CB27" s="188">
        <f t="shared" ca="1" si="241"/>
        <v>769166.66666666674</v>
      </c>
      <c r="CC27" s="144"/>
      <c r="CD27" s="126">
        <f t="shared" si="242"/>
        <v>769166.66666666674</v>
      </c>
      <c r="CE27" s="126"/>
      <c r="CF27" s="97">
        <f t="shared" ca="1" si="243"/>
        <v>0</v>
      </c>
      <c r="CG27" s="97">
        <f t="shared" si="197"/>
        <v>9230000.0000000019</v>
      </c>
      <c r="CH27" s="151">
        <f t="shared" ca="1" si="244"/>
        <v>0</v>
      </c>
      <c r="CI27" s="188">
        <f t="shared" ca="1" si="245"/>
        <v>769166.66666666674</v>
      </c>
    </row>
    <row r="28" spans="1:90">
      <c r="A28" s="207" t="s">
        <v>97</v>
      </c>
      <c r="B28" s="62">
        <v>72053601</v>
      </c>
      <c r="C28" s="208">
        <f ca="1">IFERROR(IFERROR(VLOOKUP(TEXT($B28,0),INDIRECT("'Balance a "&amp;LEFT(AN$1,3)&amp;"'!$B$3:$G$300"),6,0),VLOOKUP(VALUE($B28),INDIRECT("'Balance a "&amp;LEFT(AN$1,3)&amp;"'!$B$3:$G$300"),6,0)),0)*2</f>
        <v>7834600</v>
      </c>
      <c r="E28" s="126">
        <v>741666.66666666674</v>
      </c>
      <c r="F28" s="126"/>
      <c r="G28" s="97">
        <f t="shared" ca="1" si="198"/>
        <v>770960</v>
      </c>
      <c r="H28" s="98">
        <f t="shared" si="199"/>
        <v>741666.66666666674</v>
      </c>
      <c r="I28" s="57">
        <f t="shared" ca="1" si="200"/>
        <v>770960</v>
      </c>
      <c r="J28" s="188">
        <f t="shared" ca="1" si="201"/>
        <v>-29293.333333333256</v>
      </c>
      <c r="K28" s="70"/>
      <c r="L28" s="126">
        <f t="shared" si="202"/>
        <v>741666.66666666674</v>
      </c>
      <c r="M28" s="126"/>
      <c r="N28" s="97">
        <f t="shared" ca="1" si="203"/>
        <v>770960</v>
      </c>
      <c r="O28" s="98">
        <f t="shared" si="204"/>
        <v>1483333.3333333335</v>
      </c>
      <c r="P28" s="57">
        <f t="shared" ca="1" si="205"/>
        <v>1541920</v>
      </c>
      <c r="Q28" s="188">
        <f t="shared" ca="1" si="206"/>
        <v>-29293.333333333256</v>
      </c>
      <c r="R28" s="70"/>
      <c r="S28" s="126">
        <f t="shared" si="207"/>
        <v>741666.66666666674</v>
      </c>
      <c r="T28" s="126"/>
      <c r="U28" s="97">
        <f t="shared" ca="1" si="208"/>
        <v>778460</v>
      </c>
      <c r="V28" s="97">
        <f t="shared" si="187"/>
        <v>2225000</v>
      </c>
      <c r="W28" s="57">
        <f t="shared" ca="1" si="209"/>
        <v>2320380</v>
      </c>
      <c r="X28" s="188">
        <f t="shared" ca="1" si="210"/>
        <v>-36793.333333333256</v>
      </c>
      <c r="Y28" s="70"/>
      <c r="Z28" s="126">
        <f t="shared" si="246"/>
        <v>741666.66666666674</v>
      </c>
      <c r="AA28" s="126"/>
      <c r="AB28" s="97">
        <f t="shared" ca="1" si="247"/>
        <v>798460</v>
      </c>
      <c r="AC28" s="97">
        <f t="shared" si="188"/>
        <v>2966666.666666667</v>
      </c>
      <c r="AD28" s="57">
        <f t="shared" ca="1" si="248"/>
        <v>3118840</v>
      </c>
      <c r="AE28" s="188">
        <f t="shared" ca="1" si="249"/>
        <v>-56793.333333333256</v>
      </c>
      <c r="AF28" s="70"/>
      <c r="AG28" s="126">
        <f t="shared" si="215"/>
        <v>741666.66666666674</v>
      </c>
      <c r="AH28" s="126"/>
      <c r="AI28" s="97">
        <f t="shared" ca="1" si="216"/>
        <v>798460</v>
      </c>
      <c r="AJ28" s="97">
        <f t="shared" si="189"/>
        <v>3708333.333333334</v>
      </c>
      <c r="AK28" s="57">
        <f t="shared" ca="1" si="217"/>
        <v>3917300</v>
      </c>
      <c r="AL28" s="188">
        <f t="shared" ca="1" si="218"/>
        <v>-56793.333333333256</v>
      </c>
      <c r="AM28" s="70"/>
      <c r="AN28" s="126">
        <f t="shared" si="219"/>
        <v>741666.66666666674</v>
      </c>
      <c r="AO28" s="126"/>
      <c r="AP28" s="97">
        <f t="shared" ca="1" si="220"/>
        <v>0</v>
      </c>
      <c r="AQ28" s="97">
        <f t="shared" si="190"/>
        <v>4450000.0000000009</v>
      </c>
      <c r="AR28" s="57">
        <f t="shared" ca="1" si="221"/>
        <v>3917300</v>
      </c>
      <c r="AS28" s="188">
        <f t="shared" ca="1" si="222"/>
        <v>741666.66666666674</v>
      </c>
      <c r="AT28" s="70"/>
      <c r="AU28" s="126">
        <f t="shared" si="223"/>
        <v>741666.66666666674</v>
      </c>
      <c r="AV28" s="126"/>
      <c r="AW28" s="97">
        <f t="shared" ca="1" si="224"/>
        <v>839536</v>
      </c>
      <c r="AX28" s="126">
        <f t="shared" si="191"/>
        <v>5191666.6666666679</v>
      </c>
      <c r="AY28" s="151">
        <f t="shared" ca="1" si="225"/>
        <v>4756836</v>
      </c>
      <c r="AZ28" s="188">
        <f t="shared" ca="1" si="226"/>
        <v>-97869.333333333256</v>
      </c>
      <c r="BA28" s="144"/>
      <c r="BB28" s="126">
        <f t="shared" si="227"/>
        <v>741666.66666666674</v>
      </c>
      <c r="BC28" s="126"/>
      <c r="BD28" s="97">
        <f t="shared" ca="1" si="228"/>
        <v>798460</v>
      </c>
      <c r="BE28" s="97">
        <f t="shared" si="192"/>
        <v>5933333.3333333349</v>
      </c>
      <c r="BF28" s="151">
        <f t="shared" ca="1" si="229"/>
        <v>5555296</v>
      </c>
      <c r="BG28" s="188">
        <f t="shared" ca="1" si="230"/>
        <v>-56793.333333333256</v>
      </c>
      <c r="BH28" s="144"/>
      <c r="BI28" s="126">
        <f t="shared" si="231"/>
        <v>741666.66666666674</v>
      </c>
      <c r="BJ28" s="126"/>
      <c r="BK28" s="97">
        <f t="shared" ca="1" si="193"/>
        <v>0</v>
      </c>
      <c r="BL28" s="97">
        <f t="shared" si="194"/>
        <v>6675000.0000000019</v>
      </c>
      <c r="BM28" s="151">
        <f t="shared" ca="1" si="232"/>
        <v>0</v>
      </c>
      <c r="BN28" s="188">
        <f t="shared" ca="1" si="233"/>
        <v>741666.66666666674</v>
      </c>
      <c r="BO28" s="144"/>
      <c r="BP28" s="126">
        <f t="shared" si="234"/>
        <v>741666.66666666674</v>
      </c>
      <c r="BQ28" s="126"/>
      <c r="BR28" s="97">
        <f t="shared" ca="1" si="235"/>
        <v>0</v>
      </c>
      <c r="BS28" s="97">
        <f t="shared" si="195"/>
        <v>7416666.6666666688</v>
      </c>
      <c r="BT28" s="151">
        <f t="shared" ca="1" si="236"/>
        <v>0</v>
      </c>
      <c r="BU28" s="188">
        <f t="shared" ca="1" si="237"/>
        <v>741666.66666666674</v>
      </c>
      <c r="BV28" s="144"/>
      <c r="BW28" s="126">
        <f t="shared" si="238"/>
        <v>741666.66666666674</v>
      </c>
      <c r="BX28" s="126"/>
      <c r="BY28" s="97">
        <f t="shared" ca="1" si="239"/>
        <v>0</v>
      </c>
      <c r="BZ28" s="97">
        <f t="shared" si="196"/>
        <v>8158333.3333333358</v>
      </c>
      <c r="CA28" s="151">
        <f t="shared" ca="1" si="240"/>
        <v>0</v>
      </c>
      <c r="CB28" s="188">
        <f t="shared" ca="1" si="241"/>
        <v>741666.66666666674</v>
      </c>
      <c r="CC28" s="144"/>
      <c r="CD28" s="126">
        <f t="shared" si="242"/>
        <v>741666.66666666674</v>
      </c>
      <c r="CE28" s="126"/>
      <c r="CF28" s="97">
        <f t="shared" ca="1" si="243"/>
        <v>0</v>
      </c>
      <c r="CG28" s="97">
        <f t="shared" si="197"/>
        <v>8900000.0000000019</v>
      </c>
      <c r="CH28" s="151">
        <f t="shared" ca="1" si="244"/>
        <v>0</v>
      </c>
      <c r="CI28" s="188">
        <f t="shared" ca="1" si="245"/>
        <v>741666.66666666674</v>
      </c>
    </row>
    <row r="29" spans="1:90">
      <c r="A29" s="207" t="s">
        <v>98</v>
      </c>
      <c r="B29" s="62">
        <v>72053901</v>
      </c>
      <c r="C29" s="208">
        <f ca="1">IFERROR(IFERROR(VLOOKUP(TEXT($B29,0),INDIRECT("'Balance a "&amp;LEFT(AN$1,3)&amp;"'!$B$3:$G$300"),6,0),VLOOKUP(VALUE($B29),INDIRECT("'Balance a "&amp;LEFT(AN$1,3)&amp;"'!$B$3:$G$300"),6,0)),0)*2</f>
        <v>4540008</v>
      </c>
      <c r="E29" s="126">
        <v>0</v>
      </c>
      <c r="F29" s="126"/>
      <c r="G29" s="97">
        <f t="shared" ca="1" si="198"/>
        <v>370834</v>
      </c>
      <c r="H29" s="98">
        <f t="shared" si="199"/>
        <v>0</v>
      </c>
      <c r="I29" s="57">
        <f t="shared" ca="1" si="200"/>
        <v>370834</v>
      </c>
      <c r="J29" s="188">
        <f t="shared" ca="1" si="201"/>
        <v>-370834</v>
      </c>
      <c r="K29" s="70"/>
      <c r="L29" s="126">
        <f t="shared" si="202"/>
        <v>0</v>
      </c>
      <c r="M29" s="126"/>
      <c r="N29" s="97">
        <f t="shared" ca="1" si="203"/>
        <v>370834</v>
      </c>
      <c r="O29" s="98">
        <f t="shared" si="204"/>
        <v>0</v>
      </c>
      <c r="P29" s="57">
        <f t="shared" ca="1" si="205"/>
        <v>741668</v>
      </c>
      <c r="Q29" s="188">
        <f t="shared" ca="1" si="206"/>
        <v>-370834</v>
      </c>
      <c r="R29" s="70"/>
      <c r="S29" s="126">
        <f t="shared" si="207"/>
        <v>0</v>
      </c>
      <c r="T29" s="126"/>
      <c r="U29" s="97">
        <f t="shared" ca="1" si="208"/>
        <v>374584</v>
      </c>
      <c r="V29" s="97">
        <f t="shared" si="187"/>
        <v>0</v>
      </c>
      <c r="W29" s="57">
        <f t="shared" ca="1" si="209"/>
        <v>1116252</v>
      </c>
      <c r="X29" s="188">
        <f t="shared" ca="1" si="210"/>
        <v>-374584</v>
      </c>
      <c r="Y29" s="70"/>
      <c r="Z29" s="126">
        <f t="shared" si="246"/>
        <v>0</v>
      </c>
      <c r="AA29" s="126"/>
      <c r="AB29" s="97">
        <f t="shared" ca="1" si="247"/>
        <v>384584</v>
      </c>
      <c r="AC29" s="97">
        <f t="shared" si="188"/>
        <v>0</v>
      </c>
      <c r="AD29" s="57">
        <f t="shared" ca="1" si="248"/>
        <v>1500836</v>
      </c>
      <c r="AE29" s="188">
        <f t="shared" ca="1" si="249"/>
        <v>-384584</v>
      </c>
      <c r="AF29" s="70"/>
      <c r="AG29" s="126">
        <f t="shared" si="215"/>
        <v>0</v>
      </c>
      <c r="AH29" s="126"/>
      <c r="AI29" s="97">
        <f t="shared" ca="1" si="216"/>
        <v>384584</v>
      </c>
      <c r="AJ29" s="97">
        <f t="shared" si="189"/>
        <v>0</v>
      </c>
      <c r="AK29" s="57">
        <f t="shared" ca="1" si="217"/>
        <v>1885420</v>
      </c>
      <c r="AL29" s="188">
        <f t="shared" ca="1" si="218"/>
        <v>-384584</v>
      </c>
      <c r="AM29" s="70"/>
      <c r="AN29" s="126">
        <f t="shared" si="219"/>
        <v>0</v>
      </c>
      <c r="AO29" s="126"/>
      <c r="AP29" s="97">
        <f t="shared" ca="1" si="220"/>
        <v>384584</v>
      </c>
      <c r="AQ29" s="97">
        <f t="shared" si="190"/>
        <v>0</v>
      </c>
      <c r="AR29" s="57">
        <f t="shared" ca="1" si="221"/>
        <v>2270004</v>
      </c>
      <c r="AS29" s="188">
        <f t="shared" ca="1" si="222"/>
        <v>-384584</v>
      </c>
      <c r="AT29" s="70"/>
      <c r="AU29" s="126">
        <f t="shared" si="223"/>
        <v>0</v>
      </c>
      <c r="AV29" s="126"/>
      <c r="AW29" s="97">
        <f t="shared" ca="1" si="224"/>
        <v>384584</v>
      </c>
      <c r="AX29" s="126">
        <f t="shared" si="191"/>
        <v>0</v>
      </c>
      <c r="AY29" s="151">
        <f t="shared" ca="1" si="225"/>
        <v>2654588</v>
      </c>
      <c r="AZ29" s="188">
        <f t="shared" ca="1" si="226"/>
        <v>-384584</v>
      </c>
      <c r="BA29" s="144"/>
      <c r="BB29" s="126">
        <f t="shared" si="227"/>
        <v>0</v>
      </c>
      <c r="BC29" s="126"/>
      <c r="BD29" s="97">
        <f t="shared" ca="1" si="228"/>
        <v>384584</v>
      </c>
      <c r="BE29" s="97">
        <f t="shared" si="192"/>
        <v>0</v>
      </c>
      <c r="BF29" s="151">
        <f t="shared" ca="1" si="229"/>
        <v>3039172</v>
      </c>
      <c r="BG29" s="188">
        <f t="shared" ca="1" si="230"/>
        <v>-384584</v>
      </c>
      <c r="BH29" s="144"/>
      <c r="BI29" s="126">
        <f t="shared" si="231"/>
        <v>0</v>
      </c>
      <c r="BJ29" s="126"/>
      <c r="BK29" s="97">
        <f t="shared" ca="1" si="193"/>
        <v>0</v>
      </c>
      <c r="BL29" s="97">
        <f t="shared" si="194"/>
        <v>0</v>
      </c>
      <c r="BM29" s="151">
        <f t="shared" ca="1" si="232"/>
        <v>0</v>
      </c>
      <c r="BN29" s="188">
        <f t="shared" ca="1" si="233"/>
        <v>0</v>
      </c>
      <c r="BO29" s="144"/>
      <c r="BP29" s="126">
        <f t="shared" si="234"/>
        <v>0</v>
      </c>
      <c r="BQ29" s="126"/>
      <c r="BR29" s="97">
        <f t="shared" ca="1" si="235"/>
        <v>0</v>
      </c>
      <c r="BS29" s="97">
        <f t="shared" si="195"/>
        <v>0</v>
      </c>
      <c r="BT29" s="151">
        <f t="shared" ca="1" si="236"/>
        <v>0</v>
      </c>
      <c r="BU29" s="188">
        <f t="shared" ca="1" si="237"/>
        <v>0</v>
      </c>
      <c r="BV29" s="144"/>
      <c r="BW29" s="126">
        <f t="shared" si="238"/>
        <v>0</v>
      </c>
      <c r="BX29" s="126"/>
      <c r="BY29" s="97">
        <f t="shared" ca="1" si="239"/>
        <v>0</v>
      </c>
      <c r="BZ29" s="97">
        <f t="shared" si="196"/>
        <v>0</v>
      </c>
      <c r="CA29" s="151">
        <f t="shared" ca="1" si="240"/>
        <v>0</v>
      </c>
      <c r="CB29" s="188">
        <f t="shared" ca="1" si="241"/>
        <v>0</v>
      </c>
      <c r="CC29" s="144"/>
      <c r="CD29" s="126">
        <f t="shared" si="242"/>
        <v>0</v>
      </c>
      <c r="CE29" s="126"/>
      <c r="CF29" s="97">
        <f t="shared" ca="1" si="243"/>
        <v>0</v>
      </c>
      <c r="CG29" s="97">
        <f t="shared" si="197"/>
        <v>0</v>
      </c>
      <c r="CH29" s="151">
        <f t="shared" ca="1" si="244"/>
        <v>0</v>
      </c>
      <c r="CI29" s="188">
        <f t="shared" ca="1" si="245"/>
        <v>0</v>
      </c>
    </row>
    <row r="30" spans="1:90">
      <c r="A30" s="207" t="s">
        <v>124</v>
      </c>
      <c r="B30" s="62">
        <v>72054801</v>
      </c>
      <c r="C30" s="208">
        <f t="shared" ref="C30:C36" ca="1" si="250">IFERROR(IFERROR(VLOOKUP(TEXT($B30,0),INDIRECT("'Balance a "&amp;LEFT(AN$1,3)&amp;"'!$B$3:$G$300"),6,0),VLOOKUP(VALUE($B30),INDIRECT("'Balance a "&amp;LEFT(AN$1,3)&amp;"'!$B$3:$G$300"),6,0)),0)*2</f>
        <v>0</v>
      </c>
      <c r="E30" s="126">
        <v>0</v>
      </c>
      <c r="F30" s="126"/>
      <c r="G30" s="97">
        <f t="shared" ca="1" si="198"/>
        <v>0</v>
      </c>
      <c r="H30" s="98">
        <f t="shared" si="199"/>
        <v>0</v>
      </c>
      <c r="I30" s="57">
        <f t="shared" ca="1" si="200"/>
        <v>0</v>
      </c>
      <c r="J30" s="188">
        <f t="shared" ca="1" si="201"/>
        <v>0</v>
      </c>
      <c r="K30" s="70"/>
      <c r="L30" s="126">
        <f t="shared" si="202"/>
        <v>0</v>
      </c>
      <c r="M30" s="126"/>
      <c r="N30" s="97">
        <f t="shared" ca="1" si="203"/>
        <v>0</v>
      </c>
      <c r="O30" s="98">
        <f t="shared" si="204"/>
        <v>0</v>
      </c>
      <c r="P30" s="57">
        <f t="shared" ca="1" si="205"/>
        <v>0</v>
      </c>
      <c r="Q30" s="188">
        <f t="shared" ca="1" si="206"/>
        <v>0</v>
      </c>
      <c r="R30" s="70"/>
      <c r="S30" s="126">
        <f t="shared" si="207"/>
        <v>0</v>
      </c>
      <c r="T30" s="126"/>
      <c r="U30" s="97">
        <f t="shared" ca="1" si="208"/>
        <v>0</v>
      </c>
      <c r="V30" s="97">
        <f t="shared" si="187"/>
        <v>0</v>
      </c>
      <c r="W30" s="57">
        <f t="shared" ca="1" si="209"/>
        <v>0</v>
      </c>
      <c r="X30" s="188">
        <f t="shared" ca="1" si="210"/>
        <v>0</v>
      </c>
      <c r="Y30" s="70"/>
      <c r="Z30" s="126">
        <f t="shared" si="246"/>
        <v>0</v>
      </c>
      <c r="AA30" s="126"/>
      <c r="AB30" s="97">
        <f t="shared" ca="1" si="247"/>
        <v>0</v>
      </c>
      <c r="AC30" s="97">
        <f t="shared" si="188"/>
        <v>0</v>
      </c>
      <c r="AD30" s="57">
        <f t="shared" ca="1" si="248"/>
        <v>0</v>
      </c>
      <c r="AE30" s="188">
        <f t="shared" ca="1" si="249"/>
        <v>0</v>
      </c>
      <c r="AF30" s="70"/>
      <c r="AG30" s="126">
        <f t="shared" si="215"/>
        <v>0</v>
      </c>
      <c r="AH30" s="126"/>
      <c r="AI30" s="97">
        <f t="shared" ca="1" si="216"/>
        <v>0</v>
      </c>
      <c r="AJ30" s="97">
        <f t="shared" si="189"/>
        <v>0</v>
      </c>
      <c r="AK30" s="57">
        <f t="shared" ca="1" si="217"/>
        <v>0</v>
      </c>
      <c r="AL30" s="188">
        <f t="shared" ca="1" si="218"/>
        <v>0</v>
      </c>
      <c r="AM30" s="70"/>
      <c r="AN30" s="126">
        <f t="shared" si="219"/>
        <v>0</v>
      </c>
      <c r="AO30" s="126"/>
      <c r="AP30" s="97">
        <f t="shared" ca="1" si="220"/>
        <v>0</v>
      </c>
      <c r="AQ30" s="97">
        <f t="shared" si="190"/>
        <v>0</v>
      </c>
      <c r="AR30" s="57">
        <f t="shared" ca="1" si="221"/>
        <v>0</v>
      </c>
      <c r="AS30" s="188">
        <f t="shared" ca="1" si="222"/>
        <v>0</v>
      </c>
      <c r="AT30" s="70"/>
      <c r="AU30" s="126">
        <f t="shared" si="223"/>
        <v>0</v>
      </c>
      <c r="AV30" s="126"/>
      <c r="AW30" s="97">
        <f t="shared" ca="1" si="224"/>
        <v>0</v>
      </c>
      <c r="AX30" s="126">
        <f t="shared" si="191"/>
        <v>0</v>
      </c>
      <c r="AY30" s="151">
        <f t="shared" ca="1" si="225"/>
        <v>0</v>
      </c>
      <c r="AZ30" s="188">
        <f t="shared" ca="1" si="226"/>
        <v>0</v>
      </c>
      <c r="BA30" s="144"/>
      <c r="BB30" s="126">
        <f t="shared" si="227"/>
        <v>0</v>
      </c>
      <c r="BC30" s="126"/>
      <c r="BD30" s="97">
        <f t="shared" ca="1" si="228"/>
        <v>0</v>
      </c>
      <c r="BE30" s="97">
        <f t="shared" si="192"/>
        <v>0</v>
      </c>
      <c r="BF30" s="151">
        <f t="shared" ca="1" si="229"/>
        <v>0</v>
      </c>
      <c r="BG30" s="188">
        <f t="shared" ca="1" si="230"/>
        <v>0</v>
      </c>
      <c r="BH30" s="144"/>
      <c r="BI30" s="126">
        <f t="shared" si="231"/>
        <v>0</v>
      </c>
      <c r="BJ30" s="126"/>
      <c r="BK30" s="97">
        <f t="shared" ca="1" si="193"/>
        <v>0</v>
      </c>
      <c r="BL30" s="97">
        <f t="shared" si="194"/>
        <v>0</v>
      </c>
      <c r="BM30" s="151">
        <f t="shared" ca="1" si="232"/>
        <v>0</v>
      </c>
      <c r="BN30" s="188">
        <f t="shared" ca="1" si="233"/>
        <v>0</v>
      </c>
      <c r="BO30" s="144"/>
      <c r="BP30" s="126">
        <f t="shared" si="234"/>
        <v>0</v>
      </c>
      <c r="BQ30" s="126"/>
      <c r="BR30" s="97">
        <f t="shared" ca="1" si="235"/>
        <v>0</v>
      </c>
      <c r="BS30" s="97">
        <f t="shared" si="195"/>
        <v>0</v>
      </c>
      <c r="BT30" s="151">
        <f t="shared" ca="1" si="236"/>
        <v>0</v>
      </c>
      <c r="BU30" s="188">
        <f t="shared" ca="1" si="237"/>
        <v>0</v>
      </c>
      <c r="BV30" s="144"/>
      <c r="BW30" s="126">
        <f t="shared" si="238"/>
        <v>0</v>
      </c>
      <c r="BX30" s="126"/>
      <c r="BY30" s="97">
        <f t="shared" ca="1" si="239"/>
        <v>0</v>
      </c>
      <c r="BZ30" s="97">
        <f t="shared" si="196"/>
        <v>0</v>
      </c>
      <c r="CA30" s="151">
        <f t="shared" ca="1" si="240"/>
        <v>0</v>
      </c>
      <c r="CB30" s="188">
        <f t="shared" ca="1" si="241"/>
        <v>0</v>
      </c>
      <c r="CC30" s="144"/>
      <c r="CD30" s="126">
        <f t="shared" si="242"/>
        <v>0</v>
      </c>
      <c r="CE30" s="126"/>
      <c r="CF30" s="97">
        <f t="shared" ca="1" si="243"/>
        <v>0</v>
      </c>
      <c r="CG30" s="97">
        <f t="shared" si="197"/>
        <v>0</v>
      </c>
      <c r="CH30" s="151">
        <f t="shared" ca="1" si="244"/>
        <v>0</v>
      </c>
      <c r="CI30" s="188">
        <f t="shared" ca="1" si="245"/>
        <v>0</v>
      </c>
    </row>
    <row r="31" spans="1:90">
      <c r="A31" s="207" t="s">
        <v>204</v>
      </c>
      <c r="B31" s="62">
        <v>72056801</v>
      </c>
      <c r="C31" s="208">
        <f t="shared" ca="1" si="250"/>
        <v>567992</v>
      </c>
      <c r="E31" s="126">
        <v>0</v>
      </c>
      <c r="F31" s="126"/>
      <c r="G31" s="97">
        <f t="shared" ca="1" si="198"/>
        <v>46458</v>
      </c>
      <c r="H31" s="98">
        <f t="shared" si="199"/>
        <v>0</v>
      </c>
      <c r="I31" s="57">
        <f t="shared" ca="1" si="200"/>
        <v>46458</v>
      </c>
      <c r="J31" s="188">
        <f t="shared" ca="1" si="201"/>
        <v>-46458</v>
      </c>
      <c r="K31" s="70"/>
      <c r="L31" s="126">
        <f t="shared" si="202"/>
        <v>0</v>
      </c>
      <c r="M31" s="126"/>
      <c r="N31" s="97">
        <f t="shared" ca="1" si="203"/>
        <v>46458</v>
      </c>
      <c r="O31" s="98">
        <f t="shared" si="204"/>
        <v>0</v>
      </c>
      <c r="P31" s="57">
        <f t="shared" ca="1" si="205"/>
        <v>92916</v>
      </c>
      <c r="Q31" s="188">
        <f t="shared" ca="1" si="206"/>
        <v>-46458</v>
      </c>
      <c r="R31" s="70"/>
      <c r="S31" s="126">
        <f t="shared" si="207"/>
        <v>0</v>
      </c>
      <c r="T31" s="126"/>
      <c r="U31" s="97">
        <f t="shared" ca="1" si="208"/>
        <v>46928</v>
      </c>
      <c r="V31" s="97">
        <f t="shared" si="187"/>
        <v>0</v>
      </c>
      <c r="W31" s="57">
        <f t="shared" ca="1" si="209"/>
        <v>139844</v>
      </c>
      <c r="X31" s="188">
        <f t="shared" ca="1" si="210"/>
        <v>-46928</v>
      </c>
      <c r="Y31" s="70"/>
      <c r="Z31" s="126">
        <f t="shared" si="246"/>
        <v>0</v>
      </c>
      <c r="AA31" s="126"/>
      <c r="AB31" s="97">
        <f t="shared" ca="1" si="247"/>
        <v>47790</v>
      </c>
      <c r="AC31" s="97">
        <f t="shared" si="188"/>
        <v>0</v>
      </c>
      <c r="AD31" s="57">
        <f t="shared" ca="1" si="248"/>
        <v>187634</v>
      </c>
      <c r="AE31" s="188">
        <f t="shared" ca="1" si="249"/>
        <v>-47790</v>
      </c>
      <c r="AF31" s="70"/>
      <c r="AG31" s="126">
        <f t="shared" si="215"/>
        <v>0</v>
      </c>
      <c r="AH31" s="126"/>
      <c r="AI31" s="97">
        <f t="shared" ca="1" si="216"/>
        <v>48181</v>
      </c>
      <c r="AJ31" s="97">
        <f t="shared" si="189"/>
        <v>0</v>
      </c>
      <c r="AK31" s="57">
        <f t="shared" ca="1" si="217"/>
        <v>235815</v>
      </c>
      <c r="AL31" s="188">
        <f t="shared" ca="1" si="218"/>
        <v>-48181</v>
      </c>
      <c r="AM31" s="70"/>
      <c r="AN31" s="126">
        <f t="shared" si="219"/>
        <v>0</v>
      </c>
      <c r="AO31" s="126"/>
      <c r="AP31" s="97">
        <f t="shared" ca="1" si="220"/>
        <v>48181</v>
      </c>
      <c r="AQ31" s="97">
        <f t="shared" si="190"/>
        <v>0</v>
      </c>
      <c r="AR31" s="57">
        <f t="shared" ca="1" si="221"/>
        <v>283996</v>
      </c>
      <c r="AS31" s="188">
        <f t="shared" ca="1" si="222"/>
        <v>-48181</v>
      </c>
      <c r="AT31" s="70"/>
      <c r="AU31" s="126">
        <f t="shared" si="223"/>
        <v>0</v>
      </c>
      <c r="AV31" s="126"/>
      <c r="AW31" s="97">
        <f t="shared" ca="1" si="224"/>
        <v>48181</v>
      </c>
      <c r="AX31" s="126">
        <f t="shared" si="191"/>
        <v>0</v>
      </c>
      <c r="AY31" s="151">
        <f t="shared" ca="1" si="225"/>
        <v>332177</v>
      </c>
      <c r="AZ31" s="188">
        <f t="shared" ca="1" si="226"/>
        <v>-48181</v>
      </c>
      <c r="BA31" s="144"/>
      <c r="BB31" s="126">
        <f t="shared" si="227"/>
        <v>0</v>
      </c>
      <c r="BC31" s="126"/>
      <c r="BD31" s="97">
        <f t="shared" ca="1" si="228"/>
        <v>48181</v>
      </c>
      <c r="BE31" s="97">
        <f t="shared" si="192"/>
        <v>0</v>
      </c>
      <c r="BF31" s="151">
        <f t="shared" ca="1" si="229"/>
        <v>380358</v>
      </c>
      <c r="BG31" s="188">
        <f t="shared" ca="1" si="230"/>
        <v>-48181</v>
      </c>
      <c r="BH31" s="144"/>
      <c r="BI31" s="126">
        <f t="shared" si="231"/>
        <v>0</v>
      </c>
      <c r="BJ31" s="126"/>
      <c r="BK31" s="97">
        <f t="shared" ca="1" si="193"/>
        <v>0</v>
      </c>
      <c r="BL31" s="97">
        <f t="shared" si="194"/>
        <v>0</v>
      </c>
      <c r="BM31" s="151">
        <f t="shared" ca="1" si="232"/>
        <v>0</v>
      </c>
      <c r="BN31" s="188">
        <f t="shared" ca="1" si="233"/>
        <v>0</v>
      </c>
      <c r="BO31" s="144"/>
      <c r="BP31" s="126">
        <f t="shared" si="234"/>
        <v>0</v>
      </c>
      <c r="BQ31" s="126"/>
      <c r="BR31" s="97">
        <f t="shared" ca="1" si="235"/>
        <v>0</v>
      </c>
      <c r="BS31" s="97">
        <f t="shared" si="195"/>
        <v>0</v>
      </c>
      <c r="BT31" s="151">
        <f t="shared" ca="1" si="236"/>
        <v>0</v>
      </c>
      <c r="BU31" s="188">
        <f t="shared" ca="1" si="237"/>
        <v>0</v>
      </c>
      <c r="BV31" s="144"/>
      <c r="BW31" s="126">
        <f t="shared" si="238"/>
        <v>0</v>
      </c>
      <c r="BX31" s="126"/>
      <c r="BY31" s="97">
        <f t="shared" ca="1" si="239"/>
        <v>0</v>
      </c>
      <c r="BZ31" s="97">
        <f t="shared" si="196"/>
        <v>0</v>
      </c>
      <c r="CA31" s="151">
        <f t="shared" ca="1" si="240"/>
        <v>0</v>
      </c>
      <c r="CB31" s="188">
        <f t="shared" ca="1" si="241"/>
        <v>0</v>
      </c>
      <c r="CC31" s="144"/>
      <c r="CD31" s="126">
        <f t="shared" si="242"/>
        <v>0</v>
      </c>
      <c r="CE31" s="126"/>
      <c r="CF31" s="97">
        <f t="shared" ca="1" si="243"/>
        <v>0</v>
      </c>
      <c r="CG31" s="97">
        <f t="shared" si="197"/>
        <v>0</v>
      </c>
      <c r="CH31" s="151">
        <f t="shared" ca="1" si="244"/>
        <v>0</v>
      </c>
      <c r="CI31" s="188">
        <f t="shared" ca="1" si="245"/>
        <v>0</v>
      </c>
    </row>
    <row r="32" spans="1:90">
      <c r="A32" s="207" t="s">
        <v>205</v>
      </c>
      <c r="B32" s="62">
        <v>72057001</v>
      </c>
      <c r="C32" s="208">
        <f t="shared" ca="1" si="250"/>
        <v>13057200</v>
      </c>
      <c r="E32" s="126">
        <v>0</v>
      </c>
      <c r="F32" s="126"/>
      <c r="G32" s="97">
        <f t="shared" ca="1" si="198"/>
        <v>1068000</v>
      </c>
      <c r="H32" s="98">
        <f t="shared" si="199"/>
        <v>0</v>
      </c>
      <c r="I32" s="57">
        <f t="shared" ca="1" si="200"/>
        <v>1068000</v>
      </c>
      <c r="J32" s="188">
        <f t="shared" ca="1" si="201"/>
        <v>-1068000</v>
      </c>
      <c r="K32" s="70"/>
      <c r="L32" s="126">
        <f t="shared" si="202"/>
        <v>0</v>
      </c>
      <c r="M32" s="126"/>
      <c r="N32" s="97">
        <f t="shared" ca="1" si="203"/>
        <v>1068000</v>
      </c>
      <c r="O32" s="98">
        <f t="shared" si="204"/>
        <v>0</v>
      </c>
      <c r="P32" s="57">
        <f t="shared" ca="1" si="205"/>
        <v>2136000</v>
      </c>
      <c r="Q32" s="188">
        <f t="shared" ca="1" si="206"/>
        <v>-1068000</v>
      </c>
      <c r="R32" s="70"/>
      <c r="S32" s="126">
        <f t="shared" si="207"/>
        <v>0</v>
      </c>
      <c r="T32" s="126"/>
      <c r="U32" s="97">
        <f t="shared" ca="1" si="208"/>
        <v>1078800</v>
      </c>
      <c r="V32" s="97">
        <f t="shared" si="187"/>
        <v>0</v>
      </c>
      <c r="W32" s="57">
        <f t="shared" ca="1" si="209"/>
        <v>3214800</v>
      </c>
      <c r="X32" s="188">
        <f t="shared" ca="1" si="210"/>
        <v>-1078800</v>
      </c>
      <c r="Y32" s="70"/>
      <c r="Z32" s="126">
        <f t="shared" si="246"/>
        <v>0</v>
      </c>
      <c r="AA32" s="126"/>
      <c r="AB32" s="97">
        <f t="shared" ca="1" si="247"/>
        <v>1098600</v>
      </c>
      <c r="AC32" s="97">
        <f t="shared" si="188"/>
        <v>0</v>
      </c>
      <c r="AD32" s="57">
        <f t="shared" ca="1" si="248"/>
        <v>4313400</v>
      </c>
      <c r="AE32" s="188">
        <f t="shared" ca="1" si="249"/>
        <v>-1098600</v>
      </c>
      <c r="AF32" s="70"/>
      <c r="AG32" s="126">
        <f t="shared" si="215"/>
        <v>0</v>
      </c>
      <c r="AH32" s="126"/>
      <c r="AI32" s="97">
        <f t="shared" ca="1" si="216"/>
        <v>1107600</v>
      </c>
      <c r="AJ32" s="97">
        <f t="shared" si="189"/>
        <v>0</v>
      </c>
      <c r="AK32" s="57">
        <f t="shared" ca="1" si="217"/>
        <v>5421000</v>
      </c>
      <c r="AL32" s="188">
        <f t="shared" ca="1" si="218"/>
        <v>-1107600</v>
      </c>
      <c r="AM32" s="70"/>
      <c r="AN32" s="126">
        <f t="shared" si="219"/>
        <v>0</v>
      </c>
      <c r="AO32" s="126"/>
      <c r="AP32" s="97">
        <f t="shared" ca="1" si="220"/>
        <v>1107600</v>
      </c>
      <c r="AQ32" s="97">
        <f t="shared" si="190"/>
        <v>0</v>
      </c>
      <c r="AR32" s="57">
        <f t="shared" ca="1" si="221"/>
        <v>6528600</v>
      </c>
      <c r="AS32" s="188">
        <f t="shared" ca="1" si="222"/>
        <v>-1107600</v>
      </c>
      <c r="AT32" s="70"/>
      <c r="AU32" s="126">
        <f t="shared" si="223"/>
        <v>0</v>
      </c>
      <c r="AV32" s="126"/>
      <c r="AW32" s="97">
        <f t="shared" ca="1" si="224"/>
        <v>1166750</v>
      </c>
      <c r="AX32" s="126">
        <f t="shared" si="191"/>
        <v>0</v>
      </c>
      <c r="AY32" s="151">
        <f t="shared" ca="1" si="225"/>
        <v>7695350</v>
      </c>
      <c r="AZ32" s="188">
        <f t="shared" ca="1" si="226"/>
        <v>-1166750</v>
      </c>
      <c r="BA32" s="144"/>
      <c r="BB32" s="126">
        <f t="shared" si="227"/>
        <v>0</v>
      </c>
      <c r="BC32" s="126"/>
      <c r="BD32" s="97">
        <f t="shared" ca="1" si="228"/>
        <v>1107600</v>
      </c>
      <c r="BE32" s="97">
        <f t="shared" si="192"/>
        <v>0</v>
      </c>
      <c r="BF32" s="151">
        <f t="shared" ca="1" si="229"/>
        <v>8802950</v>
      </c>
      <c r="BG32" s="188">
        <f t="shared" ca="1" si="230"/>
        <v>-1107600</v>
      </c>
      <c r="BH32" s="144"/>
      <c r="BI32" s="126">
        <f t="shared" si="231"/>
        <v>0</v>
      </c>
      <c r="BJ32" s="126"/>
      <c r="BK32" s="97">
        <f t="shared" ca="1" si="193"/>
        <v>0</v>
      </c>
      <c r="BL32" s="97">
        <f t="shared" si="194"/>
        <v>0</v>
      </c>
      <c r="BM32" s="151">
        <f t="shared" ca="1" si="232"/>
        <v>0</v>
      </c>
      <c r="BN32" s="188">
        <f t="shared" ca="1" si="233"/>
        <v>0</v>
      </c>
      <c r="BO32" s="144"/>
      <c r="BP32" s="126">
        <f t="shared" si="234"/>
        <v>0</v>
      </c>
      <c r="BQ32" s="126"/>
      <c r="BR32" s="97">
        <f t="shared" ca="1" si="235"/>
        <v>0</v>
      </c>
      <c r="BS32" s="97">
        <f t="shared" si="195"/>
        <v>0</v>
      </c>
      <c r="BT32" s="151">
        <f t="shared" ca="1" si="236"/>
        <v>0</v>
      </c>
      <c r="BU32" s="188">
        <f t="shared" ca="1" si="237"/>
        <v>0</v>
      </c>
      <c r="BV32" s="144"/>
      <c r="BW32" s="126">
        <f t="shared" si="238"/>
        <v>0</v>
      </c>
      <c r="BX32" s="126"/>
      <c r="BY32" s="97">
        <f t="shared" ca="1" si="239"/>
        <v>0</v>
      </c>
      <c r="BZ32" s="97">
        <f t="shared" si="196"/>
        <v>0</v>
      </c>
      <c r="CA32" s="151">
        <f t="shared" ca="1" si="240"/>
        <v>0</v>
      </c>
      <c r="CB32" s="188">
        <f t="shared" ca="1" si="241"/>
        <v>0</v>
      </c>
      <c r="CC32" s="144"/>
      <c r="CD32" s="126">
        <f t="shared" si="242"/>
        <v>0</v>
      </c>
      <c r="CE32" s="126"/>
      <c r="CF32" s="97">
        <f t="shared" ca="1" si="243"/>
        <v>0</v>
      </c>
      <c r="CG32" s="97">
        <f t="shared" si="197"/>
        <v>0</v>
      </c>
      <c r="CH32" s="151">
        <f t="shared" ca="1" si="244"/>
        <v>0</v>
      </c>
      <c r="CI32" s="188">
        <f t="shared" ca="1" si="245"/>
        <v>0</v>
      </c>
    </row>
    <row r="33" spans="1:90">
      <c r="A33" s="207" t="s">
        <v>206</v>
      </c>
      <c r="B33" s="62">
        <v>72057201</v>
      </c>
      <c r="C33" s="208">
        <f t="shared" ca="1" si="250"/>
        <v>4352400</v>
      </c>
      <c r="E33" s="126">
        <v>0</v>
      </c>
      <c r="F33" s="126"/>
      <c r="G33" s="97">
        <f t="shared" ca="1" si="198"/>
        <v>356000</v>
      </c>
      <c r="H33" s="98">
        <f t="shared" si="199"/>
        <v>0</v>
      </c>
      <c r="I33" s="57">
        <f t="shared" ca="1" si="200"/>
        <v>356000</v>
      </c>
      <c r="J33" s="188">
        <f t="shared" ca="1" si="201"/>
        <v>-356000</v>
      </c>
      <c r="K33" s="70"/>
      <c r="L33" s="126">
        <f t="shared" si="202"/>
        <v>0</v>
      </c>
      <c r="M33" s="126"/>
      <c r="N33" s="97">
        <f t="shared" ca="1" si="203"/>
        <v>356000</v>
      </c>
      <c r="O33" s="98">
        <f t="shared" si="204"/>
        <v>0</v>
      </c>
      <c r="P33" s="57">
        <f t="shared" ca="1" si="205"/>
        <v>712000</v>
      </c>
      <c r="Q33" s="188">
        <f t="shared" ca="1" si="206"/>
        <v>-356000</v>
      </c>
      <c r="R33" s="70"/>
      <c r="S33" s="126">
        <f t="shared" si="207"/>
        <v>0</v>
      </c>
      <c r="T33" s="126"/>
      <c r="U33" s="97">
        <f t="shared" ca="1" si="208"/>
        <v>359600</v>
      </c>
      <c r="V33" s="97">
        <f t="shared" si="187"/>
        <v>0</v>
      </c>
      <c r="W33" s="57">
        <f t="shared" ca="1" si="209"/>
        <v>1071600</v>
      </c>
      <c r="X33" s="188">
        <f t="shared" ca="1" si="210"/>
        <v>-359600</v>
      </c>
      <c r="Y33" s="70"/>
      <c r="Z33" s="126">
        <f t="shared" si="246"/>
        <v>0</v>
      </c>
      <c r="AA33" s="126"/>
      <c r="AB33" s="97">
        <f t="shared" ca="1" si="247"/>
        <v>366200</v>
      </c>
      <c r="AC33" s="97">
        <f t="shared" si="188"/>
        <v>0</v>
      </c>
      <c r="AD33" s="57">
        <f t="shared" ca="1" si="248"/>
        <v>1437800</v>
      </c>
      <c r="AE33" s="188">
        <f t="shared" ca="1" si="249"/>
        <v>-366200</v>
      </c>
      <c r="AF33" s="70"/>
      <c r="AG33" s="126">
        <f t="shared" si="215"/>
        <v>0</v>
      </c>
      <c r="AH33" s="126"/>
      <c r="AI33" s="97">
        <f t="shared" ca="1" si="216"/>
        <v>369200</v>
      </c>
      <c r="AJ33" s="97">
        <f t="shared" si="189"/>
        <v>0</v>
      </c>
      <c r="AK33" s="57">
        <f t="shared" ca="1" si="217"/>
        <v>1807000</v>
      </c>
      <c r="AL33" s="188">
        <f t="shared" ca="1" si="218"/>
        <v>-369200</v>
      </c>
      <c r="AM33" s="70"/>
      <c r="AN33" s="126">
        <f t="shared" si="219"/>
        <v>0</v>
      </c>
      <c r="AO33" s="126"/>
      <c r="AP33" s="97">
        <f t="shared" ca="1" si="220"/>
        <v>369200</v>
      </c>
      <c r="AQ33" s="97">
        <f t="shared" si="190"/>
        <v>0</v>
      </c>
      <c r="AR33" s="57">
        <f t="shared" ca="1" si="221"/>
        <v>2176200</v>
      </c>
      <c r="AS33" s="188">
        <f t="shared" ca="1" si="222"/>
        <v>-369200</v>
      </c>
      <c r="AT33" s="70"/>
      <c r="AU33" s="126">
        <f t="shared" si="223"/>
        <v>0</v>
      </c>
      <c r="AV33" s="126"/>
      <c r="AW33" s="97">
        <f t="shared" ca="1" si="224"/>
        <v>369200</v>
      </c>
      <c r="AX33" s="126">
        <f t="shared" si="191"/>
        <v>0</v>
      </c>
      <c r="AY33" s="151">
        <f t="shared" ca="1" si="225"/>
        <v>2545400</v>
      </c>
      <c r="AZ33" s="188">
        <f t="shared" ca="1" si="226"/>
        <v>-369200</v>
      </c>
      <c r="BA33" s="144"/>
      <c r="BB33" s="126">
        <f t="shared" si="227"/>
        <v>0</v>
      </c>
      <c r="BC33" s="126"/>
      <c r="BD33" s="97">
        <f t="shared" ca="1" si="228"/>
        <v>369200</v>
      </c>
      <c r="BE33" s="97">
        <f t="shared" si="192"/>
        <v>0</v>
      </c>
      <c r="BF33" s="151">
        <f t="shared" ca="1" si="229"/>
        <v>2914600</v>
      </c>
      <c r="BG33" s="188">
        <f t="shared" ca="1" si="230"/>
        <v>-369200</v>
      </c>
      <c r="BH33" s="144"/>
      <c r="BI33" s="126">
        <f t="shared" si="231"/>
        <v>0</v>
      </c>
      <c r="BJ33" s="126"/>
      <c r="BK33" s="97">
        <f t="shared" ca="1" si="193"/>
        <v>0</v>
      </c>
      <c r="BL33" s="97">
        <f t="shared" si="194"/>
        <v>0</v>
      </c>
      <c r="BM33" s="151">
        <f t="shared" ca="1" si="232"/>
        <v>0</v>
      </c>
      <c r="BN33" s="188">
        <f t="shared" ca="1" si="233"/>
        <v>0</v>
      </c>
      <c r="BO33" s="144"/>
      <c r="BP33" s="126">
        <f t="shared" si="234"/>
        <v>0</v>
      </c>
      <c r="BQ33" s="126"/>
      <c r="BR33" s="97">
        <f t="shared" ca="1" si="235"/>
        <v>0</v>
      </c>
      <c r="BS33" s="97">
        <f t="shared" si="195"/>
        <v>0</v>
      </c>
      <c r="BT33" s="151">
        <f t="shared" ca="1" si="236"/>
        <v>0</v>
      </c>
      <c r="BU33" s="188">
        <f t="shared" ca="1" si="237"/>
        <v>0</v>
      </c>
      <c r="BV33" s="144"/>
      <c r="BW33" s="126">
        <f t="shared" si="238"/>
        <v>0</v>
      </c>
      <c r="BX33" s="126"/>
      <c r="BY33" s="97">
        <f t="shared" ca="1" si="239"/>
        <v>0</v>
      </c>
      <c r="BZ33" s="97">
        <f t="shared" si="196"/>
        <v>0</v>
      </c>
      <c r="CA33" s="151">
        <f t="shared" ca="1" si="240"/>
        <v>0</v>
      </c>
      <c r="CB33" s="188">
        <f t="shared" ca="1" si="241"/>
        <v>0</v>
      </c>
      <c r="CC33" s="144"/>
      <c r="CD33" s="126">
        <f t="shared" si="242"/>
        <v>0</v>
      </c>
      <c r="CE33" s="126"/>
      <c r="CF33" s="97">
        <f t="shared" ca="1" si="243"/>
        <v>0</v>
      </c>
      <c r="CG33" s="97">
        <f t="shared" si="197"/>
        <v>0</v>
      </c>
      <c r="CH33" s="151">
        <f t="shared" ca="1" si="244"/>
        <v>0</v>
      </c>
      <c r="CI33" s="188">
        <f t="shared" ca="1" si="245"/>
        <v>0</v>
      </c>
    </row>
    <row r="34" spans="1:90">
      <c r="A34" s="207" t="s">
        <v>164</v>
      </c>
      <c r="B34" s="62">
        <v>72952001</v>
      </c>
      <c r="C34" s="208">
        <f t="shared" ca="1" si="250"/>
        <v>28800000</v>
      </c>
      <c r="E34" s="126">
        <v>2400000</v>
      </c>
      <c r="F34" s="126"/>
      <c r="G34" s="97">
        <f t="shared" ca="1" si="198"/>
        <v>2400000</v>
      </c>
      <c r="H34" s="98">
        <f t="shared" si="199"/>
        <v>2400000</v>
      </c>
      <c r="I34" s="57">
        <f t="shared" ca="1" si="200"/>
        <v>2400000</v>
      </c>
      <c r="J34" s="188">
        <f t="shared" ca="1" si="201"/>
        <v>0</v>
      </c>
      <c r="K34" s="70"/>
      <c r="L34" s="126">
        <f t="shared" si="202"/>
        <v>2400000</v>
      </c>
      <c r="M34" s="126"/>
      <c r="N34" s="97">
        <f t="shared" ca="1" si="203"/>
        <v>2400000</v>
      </c>
      <c r="O34" s="98">
        <f t="shared" si="204"/>
        <v>4800000</v>
      </c>
      <c r="P34" s="57">
        <f t="shared" ca="1" si="205"/>
        <v>4800000</v>
      </c>
      <c r="Q34" s="188">
        <f t="shared" ca="1" si="206"/>
        <v>0</v>
      </c>
      <c r="R34" s="70"/>
      <c r="S34" s="126">
        <f t="shared" si="207"/>
        <v>2400000</v>
      </c>
      <c r="T34" s="126"/>
      <c r="U34" s="97">
        <f t="shared" ca="1" si="208"/>
        <v>2400000</v>
      </c>
      <c r="V34" s="97">
        <f t="shared" si="187"/>
        <v>7200000</v>
      </c>
      <c r="W34" s="57">
        <f t="shared" ca="1" si="209"/>
        <v>7200000</v>
      </c>
      <c r="X34" s="188">
        <f t="shared" ca="1" si="210"/>
        <v>0</v>
      </c>
      <c r="Y34" s="70"/>
      <c r="Z34" s="126">
        <f t="shared" si="246"/>
        <v>2400000</v>
      </c>
      <c r="AA34" s="126"/>
      <c r="AB34" s="97">
        <f t="shared" ca="1" si="247"/>
        <v>2400000</v>
      </c>
      <c r="AC34" s="97">
        <f t="shared" si="188"/>
        <v>9600000</v>
      </c>
      <c r="AD34" s="57">
        <f t="shared" ca="1" si="248"/>
        <v>9600000</v>
      </c>
      <c r="AE34" s="188">
        <f t="shared" ca="1" si="249"/>
        <v>0</v>
      </c>
      <c r="AF34" s="70"/>
      <c r="AG34" s="126">
        <f t="shared" si="215"/>
        <v>2400000</v>
      </c>
      <c r="AH34" s="126"/>
      <c r="AI34" s="97">
        <f t="shared" ca="1" si="216"/>
        <v>2400000</v>
      </c>
      <c r="AJ34" s="97">
        <f t="shared" si="189"/>
        <v>12000000</v>
      </c>
      <c r="AK34" s="57">
        <f t="shared" ca="1" si="217"/>
        <v>12000000</v>
      </c>
      <c r="AL34" s="188">
        <f t="shared" ca="1" si="218"/>
        <v>0</v>
      </c>
      <c r="AM34" s="70"/>
      <c r="AN34" s="126">
        <f t="shared" si="219"/>
        <v>2400000</v>
      </c>
      <c r="AO34" s="126"/>
      <c r="AP34" s="97">
        <f t="shared" ca="1" si="220"/>
        <v>2400000</v>
      </c>
      <c r="AQ34" s="97">
        <f t="shared" si="190"/>
        <v>14400000</v>
      </c>
      <c r="AR34" s="57">
        <f t="shared" ca="1" si="221"/>
        <v>14400000</v>
      </c>
      <c r="AS34" s="188">
        <f t="shared" ca="1" si="222"/>
        <v>0</v>
      </c>
      <c r="AT34" s="70"/>
      <c r="AU34" s="126">
        <f t="shared" si="223"/>
        <v>2400000</v>
      </c>
      <c r="AV34" s="126"/>
      <c r="AW34" s="97">
        <f t="shared" ca="1" si="224"/>
        <v>2400000</v>
      </c>
      <c r="AX34" s="126">
        <f t="shared" si="191"/>
        <v>16800000</v>
      </c>
      <c r="AY34" s="151">
        <f t="shared" ca="1" si="225"/>
        <v>16800000</v>
      </c>
      <c r="AZ34" s="188">
        <f t="shared" ca="1" si="226"/>
        <v>0</v>
      </c>
      <c r="BA34" s="144"/>
      <c r="BB34" s="126">
        <f t="shared" si="227"/>
        <v>2400000</v>
      </c>
      <c r="BC34" s="126"/>
      <c r="BD34" s="97">
        <f t="shared" ca="1" si="228"/>
        <v>2400000</v>
      </c>
      <c r="BE34" s="97">
        <f t="shared" si="192"/>
        <v>19200000</v>
      </c>
      <c r="BF34" s="151">
        <f t="shared" ca="1" si="229"/>
        <v>19200000</v>
      </c>
      <c r="BG34" s="188">
        <f t="shared" ca="1" si="230"/>
        <v>0</v>
      </c>
      <c r="BH34" s="144"/>
      <c r="BI34" s="126">
        <f t="shared" si="231"/>
        <v>2400000</v>
      </c>
      <c r="BJ34" s="126"/>
      <c r="BK34" s="97">
        <f t="shared" ca="1" si="193"/>
        <v>0</v>
      </c>
      <c r="BL34" s="97">
        <f t="shared" si="194"/>
        <v>21600000</v>
      </c>
      <c r="BM34" s="151">
        <f t="shared" ca="1" si="232"/>
        <v>0</v>
      </c>
      <c r="BN34" s="188">
        <f t="shared" ca="1" si="233"/>
        <v>2400000</v>
      </c>
      <c r="BO34" s="144"/>
      <c r="BP34" s="126">
        <f t="shared" si="234"/>
        <v>2400000</v>
      </c>
      <c r="BQ34" s="126"/>
      <c r="BR34" s="97">
        <f t="shared" ca="1" si="235"/>
        <v>0</v>
      </c>
      <c r="BS34" s="97">
        <f t="shared" si="195"/>
        <v>24000000</v>
      </c>
      <c r="BT34" s="151">
        <f t="shared" ca="1" si="236"/>
        <v>0</v>
      </c>
      <c r="BU34" s="188">
        <f t="shared" ca="1" si="237"/>
        <v>2400000</v>
      </c>
      <c r="BV34" s="144"/>
      <c r="BW34" s="126">
        <f t="shared" si="238"/>
        <v>2400000</v>
      </c>
      <c r="BX34" s="126"/>
      <c r="BY34" s="97">
        <f t="shared" ca="1" si="239"/>
        <v>0</v>
      </c>
      <c r="BZ34" s="97">
        <f t="shared" si="196"/>
        <v>26400000</v>
      </c>
      <c r="CA34" s="151">
        <f t="shared" ca="1" si="240"/>
        <v>0</v>
      </c>
      <c r="CB34" s="188">
        <f t="shared" ca="1" si="241"/>
        <v>2400000</v>
      </c>
      <c r="CC34" s="144"/>
      <c r="CD34" s="126">
        <f t="shared" si="242"/>
        <v>2400000</v>
      </c>
      <c r="CE34" s="126"/>
      <c r="CF34" s="97">
        <f t="shared" ca="1" si="243"/>
        <v>0</v>
      </c>
      <c r="CG34" s="97">
        <f t="shared" si="197"/>
        <v>28800000</v>
      </c>
      <c r="CH34" s="151">
        <f t="shared" ca="1" si="244"/>
        <v>0</v>
      </c>
      <c r="CI34" s="188">
        <f t="shared" ca="1" si="245"/>
        <v>2400000</v>
      </c>
    </row>
    <row r="35" spans="1:90">
      <c r="A35" s="207" t="s">
        <v>102</v>
      </c>
      <c r="B35" s="62">
        <v>73053301</v>
      </c>
      <c r="C35" s="208">
        <f t="shared" ca="1" si="250"/>
        <v>1131792</v>
      </c>
      <c r="E35" s="126">
        <v>0</v>
      </c>
      <c r="F35" s="126"/>
      <c r="G35" s="97">
        <f t="shared" ca="1" si="198"/>
        <v>92516</v>
      </c>
      <c r="H35" s="98">
        <f t="shared" si="199"/>
        <v>0</v>
      </c>
      <c r="I35" s="57">
        <f t="shared" ca="1" si="200"/>
        <v>92516</v>
      </c>
      <c r="J35" s="188">
        <f t="shared" ca="1" si="201"/>
        <v>-92516</v>
      </c>
      <c r="K35" s="70"/>
      <c r="L35" s="126">
        <f t="shared" si="202"/>
        <v>0</v>
      </c>
      <c r="M35" s="126"/>
      <c r="N35" s="97">
        <f t="shared" ca="1" si="203"/>
        <v>92516</v>
      </c>
      <c r="O35" s="98">
        <f t="shared" si="204"/>
        <v>0</v>
      </c>
      <c r="P35" s="57">
        <f t="shared" ca="1" si="205"/>
        <v>185032</v>
      </c>
      <c r="Q35" s="188">
        <f t="shared" ca="1" si="206"/>
        <v>-92516</v>
      </c>
      <c r="R35" s="70"/>
      <c r="S35" s="126">
        <f t="shared" si="207"/>
        <v>0</v>
      </c>
      <c r="T35" s="126"/>
      <c r="U35" s="97">
        <f t="shared" ca="1" si="208"/>
        <v>93416</v>
      </c>
      <c r="V35" s="97">
        <f t="shared" si="187"/>
        <v>0</v>
      </c>
      <c r="W35" s="57">
        <f t="shared" ca="1" si="209"/>
        <v>278448</v>
      </c>
      <c r="X35" s="188">
        <f t="shared" ca="1" si="210"/>
        <v>-93416</v>
      </c>
      <c r="Y35" s="70"/>
      <c r="Z35" s="126">
        <f t="shared" si="246"/>
        <v>0</v>
      </c>
      <c r="AA35" s="126"/>
      <c r="AB35" s="97">
        <f t="shared" ca="1" si="247"/>
        <v>95816</v>
      </c>
      <c r="AC35" s="97">
        <f t="shared" si="188"/>
        <v>0</v>
      </c>
      <c r="AD35" s="57">
        <f t="shared" ca="1" si="248"/>
        <v>374264</v>
      </c>
      <c r="AE35" s="188">
        <f t="shared" ca="1" si="249"/>
        <v>-95816</v>
      </c>
      <c r="AF35" s="70"/>
      <c r="AG35" s="126">
        <f t="shared" si="215"/>
        <v>0</v>
      </c>
      <c r="AH35" s="126"/>
      <c r="AI35" s="97">
        <f t="shared" ca="1" si="216"/>
        <v>95816</v>
      </c>
      <c r="AJ35" s="97">
        <f t="shared" si="189"/>
        <v>0</v>
      </c>
      <c r="AK35" s="57">
        <f t="shared" ca="1" si="217"/>
        <v>470080</v>
      </c>
      <c r="AL35" s="188">
        <f t="shared" ca="1" si="218"/>
        <v>-95816</v>
      </c>
      <c r="AM35" s="70"/>
      <c r="AN35" s="126">
        <f t="shared" si="219"/>
        <v>0</v>
      </c>
      <c r="AO35" s="126"/>
      <c r="AP35" s="97">
        <f t="shared" ca="1" si="220"/>
        <v>95816</v>
      </c>
      <c r="AQ35" s="97">
        <f t="shared" si="190"/>
        <v>0</v>
      </c>
      <c r="AR35" s="57">
        <f t="shared" ca="1" si="221"/>
        <v>565896</v>
      </c>
      <c r="AS35" s="188">
        <f t="shared" ca="1" si="222"/>
        <v>-95816</v>
      </c>
      <c r="AT35" s="70"/>
      <c r="AU35" s="126">
        <f t="shared" si="223"/>
        <v>0</v>
      </c>
      <c r="AV35" s="126"/>
      <c r="AW35" s="97">
        <f t="shared" ca="1" si="224"/>
        <v>100745</v>
      </c>
      <c r="AX35" s="126">
        <f t="shared" si="191"/>
        <v>0</v>
      </c>
      <c r="AY35" s="151">
        <f t="shared" ca="1" si="225"/>
        <v>666641</v>
      </c>
      <c r="AZ35" s="188">
        <f t="shared" ca="1" si="226"/>
        <v>-100745</v>
      </c>
      <c r="BA35" s="144"/>
      <c r="BB35" s="126">
        <f t="shared" si="227"/>
        <v>0</v>
      </c>
      <c r="BC35" s="126"/>
      <c r="BD35" s="97">
        <f t="shared" ca="1" si="228"/>
        <v>95816</v>
      </c>
      <c r="BE35" s="97">
        <f t="shared" si="192"/>
        <v>0</v>
      </c>
      <c r="BF35" s="151">
        <f t="shared" ca="1" si="229"/>
        <v>762457</v>
      </c>
      <c r="BG35" s="188">
        <f t="shared" ca="1" si="230"/>
        <v>-95816</v>
      </c>
      <c r="BH35" s="144"/>
      <c r="BI35" s="126">
        <f t="shared" si="231"/>
        <v>0</v>
      </c>
      <c r="BJ35" s="126"/>
      <c r="BK35" s="97">
        <f t="shared" ca="1" si="193"/>
        <v>0</v>
      </c>
      <c r="BL35" s="97">
        <f t="shared" si="194"/>
        <v>0</v>
      </c>
      <c r="BM35" s="151">
        <f t="shared" ca="1" si="232"/>
        <v>0</v>
      </c>
      <c r="BN35" s="188">
        <f t="shared" ca="1" si="233"/>
        <v>0</v>
      </c>
      <c r="BO35" s="144"/>
      <c r="BP35" s="126">
        <f t="shared" si="234"/>
        <v>0</v>
      </c>
      <c r="BQ35" s="126"/>
      <c r="BR35" s="97">
        <f t="shared" ca="1" si="235"/>
        <v>0</v>
      </c>
      <c r="BS35" s="97">
        <f t="shared" si="195"/>
        <v>0</v>
      </c>
      <c r="BT35" s="151">
        <f t="shared" ca="1" si="236"/>
        <v>0</v>
      </c>
      <c r="BU35" s="188">
        <f t="shared" ca="1" si="237"/>
        <v>0</v>
      </c>
      <c r="BV35" s="144"/>
      <c r="BW35" s="126">
        <f t="shared" si="238"/>
        <v>0</v>
      </c>
      <c r="BX35" s="126"/>
      <c r="BY35" s="97">
        <f t="shared" ca="1" si="239"/>
        <v>0</v>
      </c>
      <c r="BZ35" s="97">
        <f t="shared" si="196"/>
        <v>0</v>
      </c>
      <c r="CA35" s="151">
        <f t="shared" ca="1" si="240"/>
        <v>0</v>
      </c>
      <c r="CB35" s="188">
        <f t="shared" ca="1" si="241"/>
        <v>0</v>
      </c>
      <c r="CC35" s="144"/>
      <c r="CD35" s="126">
        <f t="shared" si="242"/>
        <v>0</v>
      </c>
      <c r="CE35" s="126"/>
      <c r="CF35" s="97">
        <f t="shared" ca="1" si="243"/>
        <v>0</v>
      </c>
      <c r="CG35" s="97">
        <f t="shared" si="197"/>
        <v>0</v>
      </c>
      <c r="CH35" s="151">
        <f t="shared" ca="1" si="244"/>
        <v>0</v>
      </c>
      <c r="CI35" s="188">
        <f t="shared" ca="1" si="245"/>
        <v>0</v>
      </c>
    </row>
    <row r="36" spans="1:90">
      <c r="A36" s="207" t="s">
        <v>376</v>
      </c>
      <c r="B36" s="62">
        <v>73952501</v>
      </c>
      <c r="C36" s="208">
        <f t="shared" ca="1" si="250"/>
        <v>0</v>
      </c>
      <c r="E36" s="126">
        <v>100000</v>
      </c>
      <c r="F36" s="126"/>
      <c r="G36" s="97">
        <f t="shared" ca="1" si="198"/>
        <v>0</v>
      </c>
      <c r="H36" s="98">
        <f t="shared" si="199"/>
        <v>100000</v>
      </c>
      <c r="I36" s="57">
        <f t="shared" ca="1" si="200"/>
        <v>0</v>
      </c>
      <c r="J36" s="188">
        <f t="shared" ca="1" si="201"/>
        <v>100000</v>
      </c>
      <c r="K36" s="70"/>
      <c r="L36" s="126">
        <f t="shared" si="202"/>
        <v>100000</v>
      </c>
      <c r="M36" s="126"/>
      <c r="N36" s="97">
        <f t="shared" ca="1" si="203"/>
        <v>0</v>
      </c>
      <c r="O36" s="98">
        <f t="shared" si="204"/>
        <v>200000</v>
      </c>
      <c r="P36" s="57">
        <f t="shared" ca="1" si="205"/>
        <v>0</v>
      </c>
      <c r="Q36" s="188">
        <f t="shared" ca="1" si="206"/>
        <v>100000</v>
      </c>
      <c r="R36" s="70"/>
      <c r="S36" s="126">
        <f t="shared" si="207"/>
        <v>100000</v>
      </c>
      <c r="T36" s="126"/>
      <c r="U36" s="97">
        <f t="shared" ca="1" si="208"/>
        <v>0</v>
      </c>
      <c r="V36" s="97">
        <f t="shared" si="187"/>
        <v>300000</v>
      </c>
      <c r="W36" s="57">
        <f t="shared" ca="1" si="209"/>
        <v>0</v>
      </c>
      <c r="X36" s="188">
        <f t="shared" ca="1" si="210"/>
        <v>100000</v>
      </c>
      <c r="Y36" s="70"/>
      <c r="Z36" s="126">
        <f t="shared" si="246"/>
        <v>100000</v>
      </c>
      <c r="AA36" s="126"/>
      <c r="AB36" s="97">
        <f t="shared" ca="1" si="247"/>
        <v>0</v>
      </c>
      <c r="AC36" s="97">
        <f t="shared" si="188"/>
        <v>400000</v>
      </c>
      <c r="AD36" s="57">
        <f t="shared" ca="1" si="248"/>
        <v>0</v>
      </c>
      <c r="AE36" s="188">
        <f t="shared" ca="1" si="249"/>
        <v>100000</v>
      </c>
      <c r="AF36" s="70"/>
      <c r="AG36" s="126">
        <f t="shared" si="215"/>
        <v>100000</v>
      </c>
      <c r="AH36" s="126"/>
      <c r="AI36" s="97">
        <f t="shared" ca="1" si="216"/>
        <v>0</v>
      </c>
      <c r="AJ36" s="97">
        <f t="shared" si="189"/>
        <v>500000</v>
      </c>
      <c r="AK36" s="57">
        <f t="shared" ca="1" si="217"/>
        <v>0</v>
      </c>
      <c r="AL36" s="188">
        <f t="shared" ca="1" si="218"/>
        <v>100000</v>
      </c>
      <c r="AM36" s="70"/>
      <c r="AN36" s="126">
        <f t="shared" si="219"/>
        <v>100000</v>
      </c>
      <c r="AO36" s="126"/>
      <c r="AP36" s="97">
        <f t="shared" ca="1" si="220"/>
        <v>0</v>
      </c>
      <c r="AQ36" s="97">
        <f t="shared" si="190"/>
        <v>600000</v>
      </c>
      <c r="AR36" s="57">
        <f t="shared" ca="1" si="221"/>
        <v>0</v>
      </c>
      <c r="AS36" s="188">
        <f t="shared" ca="1" si="222"/>
        <v>100000</v>
      </c>
      <c r="AT36" s="70"/>
      <c r="AU36" s="126">
        <f t="shared" si="223"/>
        <v>100000</v>
      </c>
      <c r="AV36" s="126"/>
      <c r="AW36" s="97">
        <f t="shared" ca="1" si="224"/>
        <v>0</v>
      </c>
      <c r="AX36" s="126">
        <f t="shared" si="191"/>
        <v>700000</v>
      </c>
      <c r="AY36" s="151">
        <f t="shared" ca="1" si="225"/>
        <v>0</v>
      </c>
      <c r="AZ36" s="188">
        <f t="shared" ca="1" si="226"/>
        <v>100000</v>
      </c>
      <c r="BA36" s="144"/>
      <c r="BB36" s="126">
        <f t="shared" si="227"/>
        <v>100000</v>
      </c>
      <c r="BC36" s="126"/>
      <c r="BD36" s="97">
        <f t="shared" ca="1" si="228"/>
        <v>0</v>
      </c>
      <c r="BE36" s="97">
        <f t="shared" si="192"/>
        <v>800000</v>
      </c>
      <c r="BF36" s="151">
        <f t="shared" ca="1" si="229"/>
        <v>0</v>
      </c>
      <c r="BG36" s="188">
        <f t="shared" ca="1" si="230"/>
        <v>100000</v>
      </c>
      <c r="BH36" s="144"/>
      <c r="BI36" s="126">
        <f t="shared" si="231"/>
        <v>100000</v>
      </c>
      <c r="BJ36" s="126"/>
      <c r="BK36" s="97">
        <f t="shared" ca="1" si="193"/>
        <v>0</v>
      </c>
      <c r="BL36" s="97">
        <f t="shared" si="194"/>
        <v>900000</v>
      </c>
      <c r="BM36" s="151">
        <f t="shared" ca="1" si="232"/>
        <v>0</v>
      </c>
      <c r="BN36" s="188">
        <f t="shared" ca="1" si="233"/>
        <v>100000</v>
      </c>
      <c r="BO36" s="144"/>
      <c r="BP36" s="126">
        <f t="shared" si="234"/>
        <v>100000</v>
      </c>
      <c r="BQ36" s="126"/>
      <c r="BR36" s="97">
        <f t="shared" ca="1" si="235"/>
        <v>0</v>
      </c>
      <c r="BS36" s="97">
        <f t="shared" si="195"/>
        <v>1000000</v>
      </c>
      <c r="BT36" s="151">
        <f t="shared" ca="1" si="236"/>
        <v>0</v>
      </c>
      <c r="BU36" s="188">
        <f t="shared" ca="1" si="237"/>
        <v>100000</v>
      </c>
      <c r="BV36" s="144"/>
      <c r="BW36" s="126">
        <f t="shared" si="238"/>
        <v>100000</v>
      </c>
      <c r="BX36" s="126"/>
      <c r="BY36" s="97">
        <f t="shared" ca="1" si="239"/>
        <v>0</v>
      </c>
      <c r="BZ36" s="97">
        <f t="shared" si="196"/>
        <v>1100000</v>
      </c>
      <c r="CA36" s="151">
        <f t="shared" ca="1" si="240"/>
        <v>0</v>
      </c>
      <c r="CB36" s="188">
        <f t="shared" ca="1" si="241"/>
        <v>100000</v>
      </c>
      <c r="CC36" s="144"/>
      <c r="CD36" s="126">
        <f t="shared" si="242"/>
        <v>100000</v>
      </c>
      <c r="CE36" s="126"/>
      <c r="CF36" s="97">
        <f t="shared" ca="1" si="243"/>
        <v>0</v>
      </c>
      <c r="CG36" s="97">
        <f t="shared" si="197"/>
        <v>1200000</v>
      </c>
      <c r="CH36" s="151">
        <f t="shared" ca="1" si="244"/>
        <v>0</v>
      </c>
      <c r="CI36" s="188">
        <f t="shared" ca="1" si="245"/>
        <v>100000</v>
      </c>
    </row>
    <row r="37" spans="1:90" s="1" customFormat="1" ht="15.75" thickBot="1">
      <c r="A37" s="90"/>
      <c r="B37" s="64"/>
      <c r="C37" s="73"/>
      <c r="D37" s="73"/>
      <c r="E37" s="94"/>
      <c r="F37" s="94"/>
      <c r="G37" s="87"/>
      <c r="H37" s="87"/>
      <c r="I37" s="88"/>
      <c r="J37" s="95"/>
      <c r="K37" s="73"/>
      <c r="L37" s="94"/>
      <c r="M37" s="94"/>
      <c r="N37" s="87"/>
      <c r="O37" s="87"/>
      <c r="P37" s="88"/>
      <c r="Q37" s="95"/>
      <c r="R37" s="73"/>
      <c r="S37" s="94"/>
      <c r="T37" s="94"/>
      <c r="U37" s="87"/>
      <c r="V37" s="87"/>
      <c r="W37" s="88"/>
      <c r="X37" s="95"/>
      <c r="Y37" s="73"/>
      <c r="Z37" s="94"/>
      <c r="AA37" s="94"/>
      <c r="AB37" s="87"/>
      <c r="AC37" s="87"/>
      <c r="AD37" s="88"/>
      <c r="AE37" s="95"/>
      <c r="AF37" s="73"/>
      <c r="AG37" s="94"/>
      <c r="AH37" s="94"/>
      <c r="AI37" s="87"/>
      <c r="AJ37" s="87"/>
      <c r="AK37" s="88"/>
      <c r="AL37" s="95"/>
      <c r="AM37" s="73"/>
      <c r="AN37" s="94"/>
      <c r="AO37" s="94"/>
      <c r="AP37" s="87"/>
      <c r="AQ37" s="87"/>
      <c r="AR37" s="88"/>
      <c r="AS37" s="95"/>
      <c r="AT37" s="73"/>
      <c r="AU37" s="94"/>
      <c r="AV37" s="94"/>
      <c r="AW37" s="146"/>
      <c r="AX37" s="146"/>
      <c r="AY37" s="147"/>
      <c r="AZ37" s="152"/>
      <c r="BA37" s="149"/>
      <c r="BB37" s="94"/>
      <c r="BC37" s="94"/>
      <c r="BD37" s="146"/>
      <c r="BE37" s="146"/>
      <c r="BF37" s="147"/>
      <c r="BG37" s="153"/>
      <c r="BH37" s="149"/>
      <c r="BI37" s="94"/>
      <c r="BJ37" s="94"/>
      <c r="BK37" s="146"/>
      <c r="BL37" s="146"/>
      <c r="BM37" s="147"/>
      <c r="BN37" s="153"/>
      <c r="BO37" s="149"/>
      <c r="BP37" s="94"/>
      <c r="BQ37" s="94"/>
      <c r="BR37" s="146"/>
      <c r="BS37" s="146"/>
      <c r="BT37" s="147"/>
      <c r="BU37" s="153"/>
      <c r="BV37" s="149"/>
      <c r="BW37" s="94"/>
      <c r="BX37" s="94"/>
      <c r="BY37" s="146"/>
      <c r="BZ37" s="146"/>
      <c r="CA37" s="147"/>
      <c r="CB37" s="153"/>
      <c r="CC37" s="149"/>
      <c r="CD37" s="94"/>
      <c r="CE37" s="94"/>
      <c r="CF37" s="146"/>
      <c r="CG37" s="146"/>
      <c r="CH37" s="147"/>
      <c r="CI37" s="153"/>
      <c r="CJ37" s="66"/>
      <c r="CK37" s="66"/>
      <c r="CL37" s="66"/>
    </row>
    <row r="38" spans="1:90" s="6" customFormat="1">
      <c r="A38" s="257" t="s">
        <v>12</v>
      </c>
      <c r="B38" s="258"/>
      <c r="C38" s="109">
        <f ca="1">+C4-C24</f>
        <v>600863987.65999997</v>
      </c>
      <c r="D38" s="73"/>
      <c r="E38" s="230">
        <f ca="1">+E4-E24</f>
        <v>41390909.804999992</v>
      </c>
      <c r="F38" s="231"/>
      <c r="G38" s="96">
        <f ca="1">+G4-G24</f>
        <v>39774269.299999997</v>
      </c>
      <c r="H38" s="96">
        <f ca="1">+H4-H24</f>
        <v>41390909.804999992</v>
      </c>
      <c r="I38" s="96">
        <f ca="1">+I4-I24</f>
        <v>39774269.299999997</v>
      </c>
      <c r="J38" s="96">
        <f ca="1">+J4-J24</f>
        <v>1616640.5049999971</v>
      </c>
      <c r="K38" s="72"/>
      <c r="L38" s="230">
        <f ca="1">+L4-L24</f>
        <v>41390909.804999992</v>
      </c>
      <c r="M38" s="231"/>
      <c r="N38" s="96">
        <f ca="1">+N4-N24</f>
        <v>47506314.399999999</v>
      </c>
      <c r="O38" s="96">
        <f ca="1">+O4-O24</f>
        <v>28228560.471666664</v>
      </c>
      <c r="P38" s="96">
        <f ca="1">+P4-P24</f>
        <v>87280583.700000003</v>
      </c>
      <c r="Q38" s="96">
        <f ca="1">+Q4-Q24</f>
        <v>-6115404.5950000044</v>
      </c>
      <c r="R38" s="72"/>
      <c r="S38" s="230">
        <f ca="1">+S4-S24</f>
        <v>46266076.471666664</v>
      </c>
      <c r="T38" s="231"/>
      <c r="U38" s="96">
        <f ca="1">+U4-U24</f>
        <v>32931894.759999998</v>
      </c>
      <c r="V38" s="96">
        <f ca="1">+V4-V24</f>
        <v>129043282.66666669</v>
      </c>
      <c r="W38" s="96">
        <f ca="1">+W4-W24</f>
        <v>120212478.46000001</v>
      </c>
      <c r="X38" s="96">
        <f ca="1">+X4-X24</f>
        <v>13334181.711666668</v>
      </c>
      <c r="Y38" s="72"/>
      <c r="Z38" s="230">
        <f ca="1">+Z4-Z24</f>
        <v>49281632.027222216</v>
      </c>
      <c r="AA38" s="231"/>
      <c r="AB38" s="96">
        <f ca="1">+AB4-AB24</f>
        <v>57401635.480000004</v>
      </c>
      <c r="AC38" s="96">
        <f ca="1">+AC4-AC24</f>
        <v>9704584.0272222236</v>
      </c>
      <c r="AD38" s="96">
        <f ca="1">+AD4-AD24</f>
        <v>179405502.44</v>
      </c>
      <c r="AE38" s="96">
        <f ca="1">+AE4-AE24</f>
        <v>-8120003.4527777862</v>
      </c>
      <c r="AF38" s="72"/>
      <c r="AG38" s="230">
        <f ca="1">+AG4-AG24</f>
        <v>49476076.471666664</v>
      </c>
      <c r="AH38" s="231"/>
      <c r="AI38" s="96">
        <f ca="1">+AI4-AI24</f>
        <v>54299785.439999998</v>
      </c>
      <c r="AJ38" s="96">
        <f ca="1">+AJ4-AJ24</f>
        <v>-3593320.8616666719</v>
      </c>
      <c r="AK38" s="96">
        <f ca="1">+AK4-AK24</f>
        <v>233705287.88</v>
      </c>
      <c r="AL38" s="96">
        <f ca="1">+AL4-AL24</f>
        <v>-4823708.9683333319</v>
      </c>
      <c r="AM38" s="72"/>
      <c r="AN38" s="230">
        <f ca="1">+AN4-AN24</f>
        <v>56676076.471666679</v>
      </c>
      <c r="AO38" s="231"/>
      <c r="AP38" s="96">
        <f ca="1">+AP4-AP24</f>
        <v>68518094.450000003</v>
      </c>
      <c r="AQ38" s="96">
        <f ca="1">+AQ4-AQ24</f>
        <v>-9885670.1949999928</v>
      </c>
      <c r="AR38" s="96">
        <f ca="1">+AR4-AR24</f>
        <v>302223382.32999998</v>
      </c>
      <c r="AS38" s="96">
        <f ca="1">+AS4-AS24</f>
        <v>-11842017.97833333</v>
      </c>
      <c r="AT38" s="72"/>
      <c r="AU38" s="230">
        <f ca="1">+AU4-AU24</f>
        <v>52759409.805000007</v>
      </c>
      <c r="AV38" s="231"/>
      <c r="AW38" s="154">
        <f ca="1">+AW4-AW24</f>
        <v>35376539.729999997</v>
      </c>
      <c r="AX38" s="154">
        <f ca="1">+AX4-AX24</f>
        <v>337341090.8572222</v>
      </c>
      <c r="AY38" s="154">
        <f ca="1">+AY4-AY24</f>
        <v>338136172.06</v>
      </c>
      <c r="AZ38" s="154">
        <f ca="1">+AZ4-AZ24</f>
        <v>17245184.825000003</v>
      </c>
      <c r="BA38" s="149"/>
      <c r="BB38" s="230">
        <f ca="1">+BB4-BB24</f>
        <v>67759409.805000022</v>
      </c>
      <c r="BC38" s="231"/>
      <c r="BD38" s="154">
        <f ca="1">+BD4-BD24</f>
        <v>46134965.219999999</v>
      </c>
      <c r="BE38" s="154">
        <f ca="1">+BE4-BE24</f>
        <v>405200500.66222215</v>
      </c>
      <c r="BF38" s="154">
        <f ca="1">+BF4-BF24</f>
        <v>384807387.28000003</v>
      </c>
      <c r="BG38" s="155">
        <f ca="1">+BG4-BG24</f>
        <v>21486759.335000012</v>
      </c>
      <c r="BH38" s="149"/>
      <c r="BI38" s="230">
        <f ca="1">+BI4-BI24</f>
        <v>86376076.471666679</v>
      </c>
      <c r="BJ38" s="231"/>
      <c r="BK38" s="154">
        <f ca="1">+BK4-BK24</f>
        <v>0</v>
      </c>
      <c r="BL38" s="154">
        <f ca="1">+BL4-BL24</f>
        <v>491676577.13388884</v>
      </c>
      <c r="BM38" s="154">
        <f ca="1">+BM4-BM24</f>
        <v>0</v>
      </c>
      <c r="BN38" s="155">
        <f ca="1">+BN4-BN24</f>
        <v>86774641.221666679</v>
      </c>
      <c r="BO38" s="149"/>
      <c r="BP38" s="230">
        <f ca="1">+BP4-BP24</f>
        <v>47426076.471666664</v>
      </c>
      <c r="BQ38" s="231"/>
      <c r="BR38" s="154">
        <f ca="1">+BR4-BR24</f>
        <v>0</v>
      </c>
      <c r="BS38" s="154">
        <f ca="1">+BS4-BS24</f>
        <v>539202653.60555565</v>
      </c>
      <c r="BT38" s="154">
        <f ca="1">+BT4-BT24</f>
        <v>0</v>
      </c>
      <c r="BU38" s="155">
        <f ca="1">+BU4-BU24</f>
        <v>47824641.221666664</v>
      </c>
      <c r="BV38" s="149"/>
      <c r="BW38" s="230">
        <f ca="1">+BW4-BW24</f>
        <v>47426076.471666664</v>
      </c>
      <c r="BX38" s="231"/>
      <c r="BY38" s="154">
        <f ca="1">+BY4-BY24</f>
        <v>0</v>
      </c>
      <c r="BZ38" s="154">
        <f ca="1">+BZ4-BZ24</f>
        <v>586728730.07722211</v>
      </c>
      <c r="CA38" s="154">
        <f ca="1">+CA4-CA24</f>
        <v>0</v>
      </c>
      <c r="CB38" s="155">
        <f ca="1">+CB4-CB24</f>
        <v>47824641.221666664</v>
      </c>
      <c r="CC38" s="149"/>
      <c r="CD38" s="230">
        <f ca="1">+CD4-CD24</f>
        <v>56376076.471666679</v>
      </c>
      <c r="CE38" s="231"/>
      <c r="CF38" s="154">
        <f ca="1">+CF4-CF24</f>
        <v>0</v>
      </c>
      <c r="CG38" s="154">
        <f ca="1">+CG4-CG24</f>
        <v>643204806.54888892</v>
      </c>
      <c r="CH38" s="154">
        <f ca="1">+CH4-CH24</f>
        <v>0</v>
      </c>
      <c r="CI38" s="155">
        <f ca="1">+CI4-CI24</f>
        <v>56774641.221666679</v>
      </c>
      <c r="CJ38" s="5"/>
      <c r="CK38" s="5"/>
      <c r="CL38" s="5"/>
    </row>
    <row r="39" spans="1:90" s="6" customFormat="1" ht="15.75" thickBot="1">
      <c r="A39" s="259" t="s">
        <v>11</v>
      </c>
      <c r="B39" s="260"/>
      <c r="C39" s="125"/>
      <c r="D39" s="74"/>
      <c r="E39" s="232">
        <f ca="1">IFERROR(E38/E4,0)</f>
        <v>0.75872478489402562</v>
      </c>
      <c r="F39" s="233"/>
      <c r="G39" s="209">
        <f ca="1">IFERROR(G38/G4,0)</f>
        <v>0.75446975012297612</v>
      </c>
      <c r="H39" s="209">
        <f ca="1">IFERROR(H38/H4,0)</f>
        <v>0.75872478489402562</v>
      </c>
      <c r="I39" s="209">
        <f ca="1">IFERROR(I38/I4,0)</f>
        <v>0.75446975012297612</v>
      </c>
      <c r="J39" s="209">
        <f ca="1">IFERROR(J38/J4,0)</f>
        <v>0.88096323023121459</v>
      </c>
      <c r="K39" s="210"/>
      <c r="L39" s="232">
        <f ca="1">IFERROR(L38/L4,0)</f>
        <v>0.75872478489402562</v>
      </c>
      <c r="M39" s="233"/>
      <c r="N39" s="209">
        <f ca="1">IFERROR(N38/N4,0)</f>
        <v>0.7584802079519084</v>
      </c>
      <c r="O39" s="209">
        <f ca="1">IFERROR(O38/O4,0)</f>
        <v>0.51744956978805134</v>
      </c>
      <c r="P39" s="209">
        <f ca="1">IFERROR(P38/P4,0)</f>
        <v>0.75664734411662038</v>
      </c>
      <c r="Q39" s="209">
        <f ca="1">IFERROR(Q38/Q4,0)</f>
        <v>0.75682897340347022</v>
      </c>
      <c r="R39" s="210"/>
      <c r="S39" s="232">
        <f ca="1">IFERROR(S38/S4,0)</f>
        <v>0.77734039242314712</v>
      </c>
      <c r="T39" s="233"/>
      <c r="U39" s="209">
        <f ca="1">IFERROR(U38/U4,0)</f>
        <v>0.68346604652900789</v>
      </c>
      <c r="V39" s="209">
        <f ca="1">IFERROR(V38/V4,0)</f>
        <v>0.76528899069568901</v>
      </c>
      <c r="W39" s="209">
        <f ca="1">IFERROR(W38/W4,0)</f>
        <v>0.73508538987557714</v>
      </c>
      <c r="X39" s="209">
        <f ca="1">IFERROR(X38/X4,0)</f>
        <v>1.1763966263028449</v>
      </c>
      <c r="Y39" s="210"/>
      <c r="Z39" s="232">
        <f ca="1">IFERROR(Z38/Z4,0)</f>
        <v>0.78506462325788784</v>
      </c>
      <c r="AA39" s="233"/>
      <c r="AB39" s="209">
        <f ca="1">IFERROR(AB38/AB4,0)</f>
        <v>0.78742334589718088</v>
      </c>
      <c r="AC39" s="209">
        <f ca="1">IFERROR(AC38/AC4,0)</f>
        <v>0.15459564324081829</v>
      </c>
      <c r="AD39" s="209">
        <f ca="1">IFERROR(AD38/AD4,0)</f>
        <v>0.75309316966845063</v>
      </c>
      <c r="AE39" s="209">
        <f ca="1">IFERROR(AE38/AE4,0)</f>
        <v>0.80204851769025332</v>
      </c>
      <c r="AF39" s="210"/>
      <c r="AG39" s="232">
        <f ca="1">IFERROR(AG38/AG4,0)</f>
        <v>0.78572833668867137</v>
      </c>
      <c r="AH39" s="233"/>
      <c r="AI39" s="209">
        <f ca="1">IFERROR(AI38/AI4,0)</f>
        <v>0.77700323887309897</v>
      </c>
      <c r="AJ39" s="209">
        <f ca="1">IFERROR(AJ38/AJ4,0)</f>
        <v>-5.706543899945081E-2</v>
      </c>
      <c r="AK39" s="209">
        <f ca="1">IFERROR(AK38/AK4,0)</f>
        <v>0.75851633087338977</v>
      </c>
      <c r="AL39" s="209">
        <f ca="1">IFERROR(AL38/AL4,0)</f>
        <v>0.69755397771315686</v>
      </c>
      <c r="AM39" s="210"/>
      <c r="AN39" s="232">
        <f ca="1">IFERROR(AN38/AN4,0)</f>
        <v>0.80771480650244398</v>
      </c>
      <c r="AO39" s="233"/>
      <c r="AP39" s="209">
        <f ca="1">IFERROR(AP38/AP4,0)</f>
        <v>0.82251207191727949</v>
      </c>
      <c r="AQ39" s="209">
        <f ca="1">IFERROR(AQ38/AQ4,0)</f>
        <v>-0.14088487922577234</v>
      </c>
      <c r="AR39" s="209">
        <f ca="1">IFERROR(AR38/AR4,0)</f>
        <v>0.77213642301525387</v>
      </c>
      <c r="AS39" s="209">
        <f ca="1">IFERROR(AS38/AS4,0)</f>
        <v>0.9015603241582657</v>
      </c>
      <c r="AT39" s="210"/>
      <c r="AU39" s="232">
        <f ca="1">IFERROR(AU38/AU4,0)</f>
        <v>0.79514711426120077</v>
      </c>
      <c r="AV39" s="233"/>
      <c r="AW39" s="209">
        <f ca="1">IFERROR(AW38/AW4,0)</f>
        <v>0.68559843578173041</v>
      </c>
      <c r="AX39" s="209">
        <f ca="1">IFERROR(AX38/AX4,0)</f>
        <v>0.7828982333525577</v>
      </c>
      <c r="AY39" s="209">
        <f ca="1">IFERROR(AY38/AY4,0)</f>
        <v>0.76234463307283906</v>
      </c>
      <c r="AZ39" s="209">
        <f ca="1">IFERROR(AZ38/AZ4,0)</f>
        <v>1.1881292952535849</v>
      </c>
      <c r="BA39" s="210"/>
      <c r="BB39" s="232">
        <f ca="1">IFERROR(BB38/BB4,0)</f>
        <v>0.83291880252742378</v>
      </c>
      <c r="BC39" s="233"/>
      <c r="BD39" s="209">
        <f ca="1">IFERROR(BD38/BD4,0)</f>
        <v>0.74750284371375597</v>
      </c>
      <c r="BE39" s="209">
        <f ca="1">IFERROR(BE38/BE4,0)</f>
        <v>0.79103751773291575</v>
      </c>
      <c r="BF39" s="209">
        <f ca="1">IFERROR(BF38/BF4,0)</f>
        <v>0.76078557753754439</v>
      </c>
      <c r="BG39" s="209">
        <f ca="1">IFERROR(BG38/BG4,0)</f>
        <v>1.1078337826742457</v>
      </c>
      <c r="BH39" s="210"/>
      <c r="BI39" s="232">
        <f ca="1">IFERROR(BI38/BI4,0)</f>
        <v>0.86403357636293299</v>
      </c>
      <c r="BJ39" s="233"/>
      <c r="BK39" s="209">
        <f ca="1">IFERROR(BK38/BK4,0)</f>
        <v>0</v>
      </c>
      <c r="BL39" s="209">
        <f ca="1">IFERROR(BL38/BL4,0)</f>
        <v>0.80312050985446481</v>
      </c>
      <c r="BM39" s="209">
        <f ca="1">IFERROR(BM38/BM4,0)</f>
        <v>0</v>
      </c>
      <c r="BN39" s="209">
        <f ca="1">IFERROR(BN38/BN4,0)</f>
        <v>0.8654357804233459</v>
      </c>
      <c r="BO39" s="210"/>
      <c r="BP39" s="232">
        <f ca="1">IFERROR(BP38/BP4,0)</f>
        <v>0.77724188793773263</v>
      </c>
      <c r="BQ39" s="233"/>
      <c r="BR39" s="209">
        <f ca="1">IFERROR(BR38/BR4,0)</f>
        <v>0</v>
      </c>
      <c r="BS39" s="209">
        <f ca="1">IFERROR(BS38/BS4,0)</f>
        <v>0.80092351739051049</v>
      </c>
      <c r="BT39" s="209">
        <f ca="1">IFERROR(BT38/BT4,0)</f>
        <v>0</v>
      </c>
      <c r="BU39" s="209">
        <f ca="1">IFERROR(BU38/BU4,0)</f>
        <v>0.77995741129481899</v>
      </c>
      <c r="BV39" s="210"/>
      <c r="BW39" s="232">
        <f ca="1">IFERROR(BW38/BW4,0)</f>
        <v>0.77724188793773263</v>
      </c>
      <c r="BX39" s="233"/>
      <c r="BY39" s="209">
        <f ca="1">IFERROR(BY38/BY4,0)</f>
        <v>0</v>
      </c>
      <c r="BZ39" s="209">
        <f ca="1">IFERROR(BZ38/BZ4,0)</f>
        <v>0.79909168124267282</v>
      </c>
      <c r="CA39" s="209">
        <f ca="1">IFERROR(CA38/CA4,0)</f>
        <v>0</v>
      </c>
      <c r="CB39" s="209">
        <f ca="1">IFERROR(CB38/CB4,0)</f>
        <v>0.77995741129481899</v>
      </c>
      <c r="CC39" s="210"/>
      <c r="CD39" s="232">
        <f ca="1">IFERROR(CD38/CD4,0)</f>
        <v>0.8057359562266726</v>
      </c>
      <c r="CE39" s="233"/>
      <c r="CF39" s="209">
        <f ca="1">IFERROR(CF38/CF4,0)</f>
        <v>0</v>
      </c>
      <c r="CG39" s="209">
        <f ca="1">IFERROR(CG38/CG4,0)</f>
        <v>0.79979409398937718</v>
      </c>
      <c r="CH39" s="209">
        <f ca="1">IFERROR(CH38/CH4,0)</f>
        <v>0</v>
      </c>
      <c r="CI39" s="209">
        <f ca="1">IFERROR(CI38/CI4,0)</f>
        <v>0.80798452834304213</v>
      </c>
      <c r="CJ39" s="5"/>
      <c r="CK39" s="5"/>
      <c r="CL39" s="5"/>
    </row>
    <row r="40" spans="1:90" s="1" customFormat="1" ht="15.75" thickBot="1">
      <c r="A40" s="103"/>
      <c r="B40" s="64"/>
      <c r="C40" s="74"/>
      <c r="D40" s="74"/>
      <c r="E40" s="99"/>
      <c r="F40" s="99"/>
      <c r="G40" s="99"/>
      <c r="H40" s="99"/>
      <c r="I40" s="99"/>
      <c r="J40" s="74"/>
      <c r="K40" s="74"/>
      <c r="L40" s="99"/>
      <c r="M40" s="99"/>
      <c r="N40" s="99"/>
      <c r="O40" s="99"/>
      <c r="P40" s="99"/>
      <c r="Q40" s="74"/>
      <c r="R40" s="74"/>
      <c r="S40" s="99"/>
      <c r="T40" s="99"/>
      <c r="U40" s="99"/>
      <c r="V40" s="99"/>
      <c r="W40" s="99"/>
      <c r="X40" s="74"/>
      <c r="Y40" s="74"/>
      <c r="Z40" s="99"/>
      <c r="AA40" s="99"/>
      <c r="AB40" s="99"/>
      <c r="AC40" s="99"/>
      <c r="AD40" s="99"/>
      <c r="AE40" s="74"/>
      <c r="AF40" s="74"/>
      <c r="AG40" s="99"/>
      <c r="AH40" s="99"/>
      <c r="AI40" s="99"/>
      <c r="AJ40" s="99"/>
      <c r="AK40" s="99"/>
      <c r="AL40" s="74"/>
      <c r="AM40" s="74"/>
      <c r="AN40" s="99"/>
      <c r="AO40" s="99"/>
      <c r="AP40" s="99"/>
      <c r="AQ40" s="99"/>
      <c r="AR40" s="99"/>
      <c r="AS40" s="74"/>
      <c r="AT40" s="74"/>
      <c r="AU40" s="99"/>
      <c r="AV40" s="99"/>
      <c r="AW40" s="157"/>
      <c r="AX40" s="157"/>
      <c r="AY40" s="157"/>
      <c r="AZ40" s="156"/>
      <c r="BA40" s="156"/>
      <c r="BB40" s="99"/>
      <c r="BC40" s="99"/>
      <c r="BD40" s="157"/>
      <c r="BE40" s="157"/>
      <c r="BF40" s="157"/>
      <c r="BG40" s="158"/>
      <c r="BH40" s="156"/>
      <c r="BI40" s="99"/>
      <c r="BJ40" s="99"/>
      <c r="BK40" s="157"/>
      <c r="BL40" s="157"/>
      <c r="BM40" s="157"/>
      <c r="BN40" s="158"/>
      <c r="BO40" s="156"/>
      <c r="BP40" s="99"/>
      <c r="BQ40" s="99"/>
      <c r="BR40" s="157"/>
      <c r="BS40" s="157"/>
      <c r="BT40" s="157"/>
      <c r="BU40" s="158"/>
      <c r="BV40" s="156"/>
      <c r="BW40" s="99"/>
      <c r="BX40" s="99"/>
      <c r="BY40" s="157"/>
      <c r="BZ40" s="157"/>
      <c r="CA40" s="157"/>
      <c r="CB40" s="158"/>
      <c r="CC40" s="156"/>
      <c r="CD40" s="99"/>
      <c r="CE40" s="99"/>
      <c r="CF40" s="157"/>
      <c r="CG40" s="157"/>
      <c r="CH40" s="157"/>
      <c r="CI40" s="158"/>
      <c r="CJ40" s="66"/>
      <c r="CK40" s="66"/>
      <c r="CL40" s="66"/>
    </row>
    <row r="41" spans="1:90" s="1" customFormat="1" ht="15.75" thickBot="1">
      <c r="A41" s="135" t="s">
        <v>84</v>
      </c>
      <c r="B41" s="135"/>
      <c r="C41" s="106">
        <f ca="1">SUM(C42,C135,C150,C163)</f>
        <v>361518370.13999999</v>
      </c>
      <c r="D41" s="74"/>
      <c r="E41" s="234">
        <f ca="1">SUM(E42,E135,E150,E163)</f>
        <v>27681049.65560605</v>
      </c>
      <c r="F41" s="234"/>
      <c r="G41" s="187">
        <f ca="1">SUM(G42,G135,G150,G163)</f>
        <v>27093140.919999998</v>
      </c>
      <c r="H41" s="187">
        <f ca="1">SUM(H42,H135,H150,H163)</f>
        <v>27681049.65560605</v>
      </c>
      <c r="I41" s="187">
        <f ca="1">SUM(I42,I135,I150,I163)</f>
        <v>27093140.919999998</v>
      </c>
      <c r="J41" s="187">
        <f ca="1">SUM(J42,J135,J150,J163)</f>
        <v>-587908.73560606036</v>
      </c>
      <c r="K41" s="74"/>
      <c r="L41" s="234">
        <f ca="1">SUM(L42,L135,L150,L163)</f>
        <v>29998666.38287878</v>
      </c>
      <c r="M41" s="234"/>
      <c r="N41" s="187">
        <f ca="1">SUM(N42,N135,N150,N163)</f>
        <v>27572009.109999988</v>
      </c>
      <c r="O41" s="187">
        <f ca="1">SUM(O42,O135,O150,O163)</f>
        <v>57679716.038484827</v>
      </c>
      <c r="P41" s="187">
        <f ca="1">SUM(P42,P135,P150,P163)</f>
        <v>54665150.029999971</v>
      </c>
      <c r="Q41" s="187">
        <f ca="1">SUM(Q42,Q135,Q150,Q163)</f>
        <v>2426657.2728788089</v>
      </c>
      <c r="R41" s="74"/>
      <c r="S41" s="234">
        <f ca="1">SUM(S42,S135,S150,S163)</f>
        <v>29998666.38287878</v>
      </c>
      <c r="T41" s="234"/>
      <c r="U41" s="187">
        <f ca="1">SUM(U42,U135,U150,U163)</f>
        <v>32818800.769999992</v>
      </c>
      <c r="V41" s="187">
        <f ca="1">SUM(V42,V135,V150,V163)</f>
        <v>87678382.421363622</v>
      </c>
      <c r="W41" s="187">
        <f ca="1">SUM(W42,W135,W150,W163)</f>
        <v>87483950.799999997</v>
      </c>
      <c r="X41" s="187">
        <f ca="1">SUM(X42,X135,X150,X163)</f>
        <v>-2820134.3871211968</v>
      </c>
      <c r="Y41" s="74"/>
      <c r="Z41" s="234">
        <f ca="1">SUM(Z42,Z135,Z150,Z163)</f>
        <v>29998666.38287878</v>
      </c>
      <c r="AA41" s="234"/>
      <c r="AB41" s="187">
        <f ca="1">SUM(AB42,AB135,AB150,AB163)</f>
        <v>30679265.949999996</v>
      </c>
      <c r="AC41" s="187">
        <f ca="1">SUM(AC42,AC135,AC150,AC163)</f>
        <v>117677048.8042424</v>
      </c>
      <c r="AD41" s="187">
        <f ca="1">SUM(AD42,AD135,AD150,AD163)</f>
        <v>118163216.75</v>
      </c>
      <c r="AE41" s="187">
        <f ca="1">SUM(AE42,AE135,AE150,AE163)</f>
        <v>-680599.56712121214</v>
      </c>
      <c r="AF41" s="74"/>
      <c r="AG41" s="234">
        <f ca="1">SUM(AG42,AG135,AG150,AG163)</f>
        <v>30082699.38287878</v>
      </c>
      <c r="AH41" s="234"/>
      <c r="AI41" s="187">
        <f ca="1">SUM(AI42,AI135,AI150,AI163)</f>
        <v>30688908.570000008</v>
      </c>
      <c r="AJ41" s="187">
        <f ca="1">SUM(AJ42,AJ135,AJ150,AJ163)</f>
        <v>147759748.18712121</v>
      </c>
      <c r="AK41" s="187">
        <f ca="1">SUM(AK42,AK135,AK150,AK163)</f>
        <v>148852125.31999999</v>
      </c>
      <c r="AL41" s="187">
        <f ca="1">SUM(AL42,AL135,AL150,AL163)</f>
        <v>-606209.18712121632</v>
      </c>
      <c r="AM41" s="74"/>
      <c r="AN41" s="234">
        <f ca="1">SUM(AN42,AN135,AN150,AN163)</f>
        <v>31320816.38287878</v>
      </c>
      <c r="AO41" s="234"/>
      <c r="AP41" s="187">
        <f ca="1">SUM(AP42,AP135,AP150,AP163)</f>
        <v>31907059.75000003</v>
      </c>
      <c r="AQ41" s="187">
        <f ca="1">SUM(AQ42,AQ135,AQ150,AQ163)</f>
        <v>179080564.56999999</v>
      </c>
      <c r="AR41" s="187">
        <f ca="1">SUM(AR42,AR135,AR150,AR163)</f>
        <v>180759185.06999999</v>
      </c>
      <c r="AS41" s="187">
        <f ca="1">SUM(AS42,AS135,AS150,AS163)</f>
        <v>-586243.36712123989</v>
      </c>
      <c r="AT41" s="74"/>
      <c r="AU41" s="234">
        <f ca="1">SUM(AU42,AU135,AU150,AU163)</f>
        <v>29998666.38287878</v>
      </c>
      <c r="AV41" s="234"/>
      <c r="AW41" s="182">
        <f ca="1">SUM(AW42,AW135,AW150,AW163)</f>
        <v>42146005.63000001</v>
      </c>
      <c r="AX41" s="182">
        <f ca="1">SUM(AX42,AX135,AX150,AX163)</f>
        <v>209079230.9528788</v>
      </c>
      <c r="AY41" s="182">
        <f ca="1">SUM(AY42,AY135,AY150,AY163)</f>
        <v>228939900.11999997</v>
      </c>
      <c r="AZ41" s="182">
        <f ca="1">SUM(AZ42,AZ135,AZ150,AZ163)</f>
        <v>-12147339.247121217</v>
      </c>
      <c r="BA41" s="156"/>
      <c r="BB41" s="234">
        <f ca="1">SUM(BB42,BB135,BB150,BB163)</f>
        <v>29998666.38287878</v>
      </c>
      <c r="BC41" s="234"/>
      <c r="BD41" s="182">
        <f ca="1">SUM(BD42,BD135,BD150,BD163)</f>
        <v>20804516.059999999</v>
      </c>
      <c r="BE41" s="182">
        <f ca="1">SUM(BE42,BE135,BE150,BE163)</f>
        <v>239077897.33575752</v>
      </c>
      <c r="BF41" s="182">
        <f ca="1">SUM(BF42,BF135,BF150,BF163)</f>
        <v>249744416.17999998</v>
      </c>
      <c r="BG41" s="189">
        <f ca="1">SUM(BG42,BG135,BG150,BG163)</f>
        <v>9194150.3228787966</v>
      </c>
      <c r="BH41" s="156"/>
      <c r="BI41" s="234">
        <f ca="1">SUM(BI42,BI135,BI150,BI163)</f>
        <v>29998666.38287878</v>
      </c>
      <c r="BJ41" s="234"/>
      <c r="BK41" s="182">
        <f ca="1">SUM(BK42,BK135,BK150,BK163)</f>
        <v>0</v>
      </c>
      <c r="BL41" s="182">
        <f ca="1">SUM(BL42,BL135,BL150,BL163)</f>
        <v>269076563.71863639</v>
      </c>
      <c r="BM41" s="182">
        <f ca="1">SUM(BM42,BM135,BM150,BM163)</f>
        <v>0</v>
      </c>
      <c r="BN41" s="189">
        <f ca="1">SUM(BN42,BN135,BN150,BN163)</f>
        <v>29998666.38287878</v>
      </c>
      <c r="BO41" s="156"/>
      <c r="BP41" s="238">
        <f ca="1">SUM(BP42,BP135,BP150,BP163)</f>
        <v>29998666.38287878</v>
      </c>
      <c r="BQ41" s="239"/>
      <c r="BR41" s="159">
        <f ca="1">SUM(BR42,BR135,BR150,BR163)</f>
        <v>0</v>
      </c>
      <c r="BS41" s="159">
        <f ca="1">SUM(BS42,BS135,BS150,BS163)</f>
        <v>299075230.10151517</v>
      </c>
      <c r="BT41" s="159">
        <f ca="1">SUM(BT42,BT135,BT150,BT163)</f>
        <v>0</v>
      </c>
      <c r="BU41" s="160">
        <f ca="1">SUM(BU42,BU135,BU150,BU163)</f>
        <v>29998666.38287878</v>
      </c>
      <c r="BV41" s="156"/>
      <c r="BW41" s="234">
        <f ca="1">SUM(BW42,BW135,BW150,BW163)</f>
        <v>29998666.38287878</v>
      </c>
      <c r="BX41" s="234"/>
      <c r="BY41" s="182">
        <f ca="1">SUM(BY42,BY135,BY150,BY163)</f>
        <v>0</v>
      </c>
      <c r="BZ41" s="182">
        <f ca="1">SUM(BZ42,BZ135,BZ150,BZ163)</f>
        <v>329073896.48439384</v>
      </c>
      <c r="CA41" s="182">
        <f ca="1">SUM(CA42,CA135,CA150,CA163)</f>
        <v>0</v>
      </c>
      <c r="CB41" s="189">
        <f ca="1">SUM(CB42,CB135,CB150,CB163)</f>
        <v>29998666.38287878</v>
      </c>
      <c r="CC41" s="156"/>
      <c r="CD41" s="234">
        <f ca="1">SUM(CD42,CD135,CD150,CD163)</f>
        <v>29998666.38287878</v>
      </c>
      <c r="CE41" s="234"/>
      <c r="CF41" s="182">
        <f ca="1">SUM(CF42,CF135,CF150,CF163)</f>
        <v>0</v>
      </c>
      <c r="CG41" s="182">
        <f ca="1">SUM(CG42,CG135,CG150,CG163)</f>
        <v>367668906.82727271</v>
      </c>
      <c r="CH41" s="182">
        <f ca="1">SUM(CH42,CH135,CH150,CH163)</f>
        <v>0</v>
      </c>
      <c r="CI41" s="189">
        <f ca="1">SUM(CI42,CI135,CI150,CI163)</f>
        <v>29998666.38287878</v>
      </c>
      <c r="CJ41" s="66"/>
      <c r="CK41" s="66"/>
      <c r="CL41" s="66"/>
    </row>
    <row r="42" spans="1:90" s="6" customFormat="1">
      <c r="A42" s="261" t="s">
        <v>5</v>
      </c>
      <c r="B42" s="262"/>
      <c r="C42" s="211">
        <f ca="1">SUM(C43:C132)</f>
        <v>325668223.63999999</v>
      </c>
      <c r="D42" s="73"/>
      <c r="E42" s="235">
        <f ca="1">SUM(E43:F132)</f>
        <v>25125691.703939386</v>
      </c>
      <c r="F42" s="235"/>
      <c r="G42" s="196">
        <f ca="1">SUM(G43:G132)</f>
        <v>25779114.359999999</v>
      </c>
      <c r="H42" s="196">
        <f ca="1">SUM(H43:H132)</f>
        <v>25125691.703939386</v>
      </c>
      <c r="I42" s="196">
        <f ca="1">SUM(I43:I132)</f>
        <v>25779114.359999999</v>
      </c>
      <c r="J42" s="196">
        <f ca="1">SUM(J43:J132)</f>
        <v>653422.65606060636</v>
      </c>
      <c r="K42" s="72"/>
      <c r="L42" s="235">
        <f ca="1">SUM(L43:M132)</f>
        <v>27443308.431212116</v>
      </c>
      <c r="M42" s="235"/>
      <c r="N42" s="196">
        <f ca="1">SUM(N43:N132)</f>
        <v>25195553.009999987</v>
      </c>
      <c r="O42" s="196">
        <f ca="1">SUM(O43:O132)</f>
        <v>52569000.135151498</v>
      </c>
      <c r="P42" s="196">
        <f ca="1">SUM(P43:P132)</f>
        <v>50974667.369999975</v>
      </c>
      <c r="Q42" s="196">
        <f ca="1">SUM(Q43:Q132)</f>
        <v>2247755.4212121419</v>
      </c>
      <c r="R42" s="72"/>
      <c r="S42" s="235">
        <f ca="1">SUM(S43:T132)</f>
        <v>27443308.431212116</v>
      </c>
      <c r="T42" s="235"/>
      <c r="U42" s="196">
        <f ca="1">SUM(U43:U132)</f>
        <v>30953515.68999999</v>
      </c>
      <c r="V42" s="196">
        <f ca="1">SUM(V43:V132)</f>
        <v>80012308.566363618</v>
      </c>
      <c r="W42" s="196">
        <f ca="1">SUM(W43:W132)</f>
        <v>81928183.059999987</v>
      </c>
      <c r="X42" s="196">
        <f ca="1">SUM(X43:X132)</f>
        <v>-3510207.2587878639</v>
      </c>
      <c r="Y42" s="72"/>
      <c r="Z42" s="235">
        <f ca="1">SUM(Z43:AA132)</f>
        <v>27443308.431212116</v>
      </c>
      <c r="AA42" s="235"/>
      <c r="AB42" s="196">
        <f ca="1">SUM(AB43:AB132)</f>
        <v>25428975.879999995</v>
      </c>
      <c r="AC42" s="196">
        <f ca="1">SUM(AC43:AC132)</f>
        <v>107455616.99757574</v>
      </c>
      <c r="AD42" s="196">
        <f ca="1">SUM(AD43:AD132)</f>
        <v>107357158.94</v>
      </c>
      <c r="AE42" s="196">
        <f ca="1">SUM(AE43:AE132)</f>
        <v>2014332.5512121213</v>
      </c>
      <c r="AF42" s="72"/>
      <c r="AG42" s="235">
        <f ca="1">SUM(AG43:AH132)</f>
        <v>27527341.431212116</v>
      </c>
      <c r="AH42" s="235"/>
      <c r="AI42" s="196">
        <f ca="1">SUM(AI43:AI132)</f>
        <v>27385069.850000005</v>
      </c>
      <c r="AJ42" s="196">
        <f ca="1">SUM(AJ43:AJ132)</f>
        <v>134982958.42878789</v>
      </c>
      <c r="AK42" s="196">
        <f ca="1">SUM(AK43:AK132)</f>
        <v>134742228.78999999</v>
      </c>
      <c r="AL42" s="196">
        <f ca="1">SUM(AL43:AL132)</f>
        <v>142271.5812121178</v>
      </c>
      <c r="AM42" s="72"/>
      <c r="AN42" s="235">
        <f ca="1">SUM(AN43:AO132)</f>
        <v>28765458.431212116</v>
      </c>
      <c r="AO42" s="235"/>
      <c r="AP42" s="196">
        <f ca="1">SUM(AP43:AP132)</f>
        <v>28091883.030000035</v>
      </c>
      <c r="AQ42" s="196">
        <f ca="1">SUM(AQ43:AQ132)</f>
        <v>163748416.85999998</v>
      </c>
      <c r="AR42" s="196">
        <f ca="1">SUM(AR43:AR132)</f>
        <v>162834111.81999999</v>
      </c>
      <c r="AS42" s="196">
        <f ca="1">SUM(AS43:AS132)</f>
        <v>673575.40121209191</v>
      </c>
      <c r="AT42" s="72"/>
      <c r="AU42" s="235">
        <f ca="1">SUM(AU43:AV132)</f>
        <v>27443308.431212116</v>
      </c>
      <c r="AV42" s="235"/>
      <c r="AW42" s="161">
        <f ca="1">SUM(AW43:AW132)</f>
        <v>37378687.400000006</v>
      </c>
      <c r="AX42" s="161">
        <f ca="1">SUM(AX43:AX132)</f>
        <v>191191725.29121214</v>
      </c>
      <c r="AY42" s="161">
        <f ca="1">SUM(AY43:AY133)</f>
        <v>200212799.21999997</v>
      </c>
      <c r="AZ42" s="161">
        <f ca="1">SUM(AZ43:AZ132)</f>
        <v>-9935378.9687878825</v>
      </c>
      <c r="BA42" s="149"/>
      <c r="BB42" s="235">
        <f ca="1">SUM(BB43:BC132)</f>
        <v>27443308.431212116</v>
      </c>
      <c r="BC42" s="235"/>
      <c r="BD42" s="161">
        <f ca="1">SUM(BD43:BD132)</f>
        <v>17092622.719999999</v>
      </c>
      <c r="BE42" s="161">
        <f ca="1">SUM(BE43:BE132)</f>
        <v>218635033.72242421</v>
      </c>
      <c r="BF42" s="161">
        <f ca="1">SUM(BF43:BF133)</f>
        <v>217305421.93999997</v>
      </c>
      <c r="BG42" s="195">
        <f ca="1">SUM(BG43:BG132)</f>
        <v>10350685.711212128</v>
      </c>
      <c r="BH42" s="149"/>
      <c r="BI42" s="235">
        <f ca="1">SUM(BI43:BJ132)</f>
        <v>27443308.431212116</v>
      </c>
      <c r="BJ42" s="235"/>
      <c r="BK42" s="161">
        <f ca="1">SUM(BK43:BK132)</f>
        <v>0</v>
      </c>
      <c r="BL42" s="161">
        <f ca="1">SUM(BL43:BL132)</f>
        <v>246078342.15363643</v>
      </c>
      <c r="BM42" s="161">
        <f ca="1">SUM(BM43:BM133)</f>
        <v>0</v>
      </c>
      <c r="BN42" s="195">
        <f ca="1">SUM(BN43:BN132)</f>
        <v>27443308.431212116</v>
      </c>
      <c r="BO42" s="149"/>
      <c r="BP42" s="240">
        <f ca="1">SUM(BP43:BQ132)</f>
        <v>27443308.431212116</v>
      </c>
      <c r="BQ42" s="241"/>
      <c r="BR42" s="161">
        <f ca="1">SUM(BR43:BR132)</f>
        <v>0</v>
      </c>
      <c r="BS42" s="161">
        <f ca="1">SUM(BS43:BS132)</f>
        <v>273521650.58484852</v>
      </c>
      <c r="BT42" s="161">
        <f ca="1">SUM(BT43:BT133)</f>
        <v>0</v>
      </c>
      <c r="BU42" s="162">
        <f ca="1">SUM(BU43:BU132)</f>
        <v>27443308.431212116</v>
      </c>
      <c r="BV42" s="149"/>
      <c r="BW42" s="235">
        <f ca="1">SUM(BW43:BX132)</f>
        <v>27443308.431212116</v>
      </c>
      <c r="BX42" s="235"/>
      <c r="BY42" s="161">
        <f ca="1">SUM(BY43:BY132)</f>
        <v>0</v>
      </c>
      <c r="BZ42" s="161">
        <f ca="1">SUM(BZ43:BZ132)</f>
        <v>300964959.01606053</v>
      </c>
      <c r="CA42" s="161">
        <f ca="1">SUM(CA43:CA133)</f>
        <v>0</v>
      </c>
      <c r="CB42" s="195">
        <f ca="1">SUM(CB43:CB132)</f>
        <v>27443308.431212116</v>
      </c>
      <c r="CC42" s="149"/>
      <c r="CD42" s="235">
        <f ca="1">SUM(CD43:CE132)</f>
        <v>27443308.431212116</v>
      </c>
      <c r="CE42" s="235"/>
      <c r="CF42" s="161">
        <f ca="1">SUM(CF43:CF132)</f>
        <v>0</v>
      </c>
      <c r="CG42" s="161">
        <f ca="1">SUM(CG43:CG132)</f>
        <v>328408267.44727272</v>
      </c>
      <c r="CH42" s="161">
        <f ca="1">SUM(CH43:CH133)</f>
        <v>0</v>
      </c>
      <c r="CI42" s="195">
        <f ca="1">SUM(CI43:CI132)</f>
        <v>27443308.431212116</v>
      </c>
      <c r="CJ42" s="5"/>
      <c r="CK42" s="5"/>
      <c r="CL42" s="5"/>
    </row>
    <row r="43" spans="1:90" s="6" customFormat="1">
      <c r="A43" s="133" t="s">
        <v>100</v>
      </c>
      <c r="B43" s="63">
        <v>51050601</v>
      </c>
      <c r="C43" s="134">
        <f ca="1">IFERROR(IFERROR(VLOOKUP(TEXT($B43,0),INDIRECT("'Balance a "&amp;LEFT(AN$1,3)&amp;"'!$B$3:$G$300"),6,0),VLOOKUP(VALUE($B43),INDIRECT("'Balance a "&amp;LEFT(AN$1,3)&amp;"'!$B$3:$G$300"),6,0)),0)*2</f>
        <v>73053334</v>
      </c>
      <c r="D43" s="78"/>
      <c r="E43" s="126">
        <v>4600000</v>
      </c>
      <c r="F43" s="126"/>
      <c r="G43" s="104">
        <f t="shared" ref="G43:G116" ca="1" si="251">IFERROR(I43,0)</f>
        <v>3526667</v>
      </c>
      <c r="H43" s="98">
        <f>IFERROR(E43,0)</f>
        <v>4600000</v>
      </c>
      <c r="I43" s="57">
        <f t="shared" ref="I43:I116" ca="1" si="252">IFERROR(IFERROR(VLOOKUP(TEXT($B43,0),INDIRECT("'Balance a "&amp;LEFT(E$1,3)&amp;"'!$B$3:$G$300"),4,0),VLOOKUP(VALUE($B43),INDIRECT("'Balance a "&amp;LEFT(E$1,3)&amp;"'!$B$3:$G$300"),4,0)),0)</f>
        <v>3526667</v>
      </c>
      <c r="J43" s="188">
        <f ca="1">IFERROR(G43-E43,0)</f>
        <v>-1073333</v>
      </c>
      <c r="K43" s="70"/>
      <c r="L43" s="126">
        <f>E43+F43</f>
        <v>4600000</v>
      </c>
      <c r="M43" s="126">
        <f>'Gastos Proyectados'!D8+'Gastos Proyectados'!D11</f>
        <v>2000000</v>
      </c>
      <c r="N43" s="97">
        <f ca="1">IFERROR(P43-I43,0)</f>
        <v>6600000</v>
      </c>
      <c r="O43" s="98">
        <f t="shared" ref="O43" si="253">SUM(E43:F43,L43:M43)</f>
        <v>11200000</v>
      </c>
      <c r="P43" s="151">
        <f ca="1">IFERROR(IFERROR(VLOOKUP(TEXT($B43,0),INDIRECT("'Balance a "&amp;LEFT(L$1,3)&amp;"'!$B$3:$G$300"),6,0),VLOOKUP(VALUE($B43),INDIRECT("'Balance a "&amp;LEFT(L$1,3)&amp;"'!$B$3:$G$300"),6,0)),0)</f>
        <v>10126667</v>
      </c>
      <c r="Q43" s="188">
        <f ca="1">IFERROR(SUM(L43:M43)-N43,0)</f>
        <v>0</v>
      </c>
      <c r="R43" s="70"/>
      <c r="S43" s="126">
        <f t="shared" ref="S43:S112" si="254">L43+M43</f>
        <v>6600000</v>
      </c>
      <c r="T43" s="126"/>
      <c r="U43" s="97">
        <f ca="1">IFERROR(W43-P43,0)</f>
        <v>6600000</v>
      </c>
      <c r="V43" s="97">
        <f t="shared" ref="V43:V112" si="255">SUM(E43:F43,L43:M43,S43:T43)</f>
        <v>17800000</v>
      </c>
      <c r="W43" s="151">
        <f ca="1">IFERROR(IFERROR(VLOOKUP(TEXT($B43,0),INDIRECT("'Balance a "&amp;LEFT(S$1,3)&amp;"'!$B$3:$G$300"),6,0),VLOOKUP(VALUE($B43),INDIRECT("'Balance a "&amp;LEFT(S$1,3)&amp;"'!$B$3:$G$300"),6,0)),0)</f>
        <v>16726667</v>
      </c>
      <c r="X43" s="188">
        <f ca="1">IFERROR(SUM(S43:T43)-U43,0)</f>
        <v>0</v>
      </c>
      <c r="Y43" s="70"/>
      <c r="Z43" s="126">
        <f t="shared" ref="Z43:Z112" si="256">S43+T43</f>
        <v>6600000</v>
      </c>
      <c r="AA43" s="126"/>
      <c r="AB43" s="97">
        <f ca="1">IFERROR(AD43-W43,0)</f>
        <v>6600000</v>
      </c>
      <c r="AC43" s="97">
        <f t="shared" ref="AC43:AC112" si="257">SUM(E43:F43,L43:M43,S43:T43,Z43:AA43)</f>
        <v>24400000</v>
      </c>
      <c r="AD43" s="151">
        <f ca="1">IFERROR(IFERROR(VLOOKUP(TEXT($B43,0),INDIRECT("'Balance a "&amp;LEFT(Z$1,3)&amp;"'!$B$3:$G$300"),6,0),VLOOKUP(VALUE($B43),INDIRECT("'Balance a "&amp;LEFT(Z$1,3)&amp;"'!$B$3:$G$300"),6,0)),0)</f>
        <v>23326667</v>
      </c>
      <c r="AE43" s="188">
        <f ca="1">IFERROR(SUM(Z43:AA43)-AB43,0)</f>
        <v>0</v>
      </c>
      <c r="AF43" s="70"/>
      <c r="AG43" s="126">
        <f t="shared" ref="AG43:AG112" si="258">Z43+AA43</f>
        <v>6600000</v>
      </c>
      <c r="AH43" s="126"/>
      <c r="AI43" s="97">
        <f ca="1">IFERROR(AK43-AD43,0)</f>
        <v>6600000</v>
      </c>
      <c r="AJ43" s="97">
        <f t="shared" ref="AJ43:AJ112" si="259">SUM(E43:F43,L43:M43,S43:T43,Z43:AA43,AG43:AH43)</f>
        <v>31000000</v>
      </c>
      <c r="AK43" s="151">
        <f ca="1">IFERROR(IFERROR(VLOOKUP(TEXT($B43,0),INDIRECT("'Balance a "&amp;LEFT(AG$1,3)&amp;"'!$B$3:$G$300"),6,0),VLOOKUP(VALUE($B43),INDIRECT("'Balance a "&amp;LEFT(AG$1,3)&amp;"'!$B$3:$G$300"),6,0)),0)</f>
        <v>29926667</v>
      </c>
      <c r="AL43" s="188">
        <f ca="1">IFERROR(SUM(AG43:AH43)-AI43,0)</f>
        <v>0</v>
      </c>
      <c r="AM43" s="70"/>
      <c r="AN43" s="126">
        <f t="shared" ref="AN43:AN112" si="260">AG43+AH43</f>
        <v>6600000</v>
      </c>
      <c r="AO43" s="126"/>
      <c r="AP43" s="97">
        <f ca="1">IFERROR(AR43-AK43,0)</f>
        <v>6600000</v>
      </c>
      <c r="AQ43" s="97">
        <f t="shared" ref="AQ43:AQ112" si="261">SUM(E43:F43,L43:M43,S43:T43,Z43:AA43,AG43:AH43,AN43:AO43)</f>
        <v>37600000</v>
      </c>
      <c r="AR43" s="151">
        <f ca="1">IFERROR(IFERROR(VLOOKUP(TEXT($B43,0),INDIRECT("'Balance a "&amp;LEFT(AN$1,3)&amp;"'!$B$3:$G$300"),6,0),VLOOKUP(VALUE($B43),INDIRECT("'Balance a "&amp;LEFT(AN$1,3)&amp;"'!$B$3:$G$300"),6,0)),0)</f>
        <v>36526667</v>
      </c>
      <c r="AS43" s="188">
        <f ca="1">IFERROR(SUM(AN43:AO43)-AP43,0)</f>
        <v>0</v>
      </c>
      <c r="AT43" s="70"/>
      <c r="AU43" s="126">
        <f t="shared" ref="AU43:AU112" si="262">AN43+AO43</f>
        <v>6600000</v>
      </c>
      <c r="AV43" s="126"/>
      <c r="AW43" s="97">
        <f ca="1">IFERROR(AY43-AR43,0)</f>
        <v>6600000</v>
      </c>
      <c r="AX43" s="126">
        <f t="shared" ref="AX43:AX112" si="263">SUM(E43:F43,L43:M43,S43:T43,Z43:AA43,AG43:AH43,AN43:AO43,AU43:AV43)</f>
        <v>44200000</v>
      </c>
      <c r="AY43" s="151">
        <f ca="1">IFERROR(IFERROR(VLOOKUP(TEXT($B43,0),INDIRECT("'Balance a "&amp;LEFT(AU$1,3)&amp;"'!$B$3:$G$300"),6,0),VLOOKUP(VALUE($B43),INDIRECT("'Balance a "&amp;LEFT(AU$1,3)&amp;"'!$B$3:$G$300"),6,0)),0)</f>
        <v>43126667</v>
      </c>
      <c r="AZ43" s="188">
        <f ca="1">IFERROR(SUM(AU43:AV43)-AW43,0)</f>
        <v>0</v>
      </c>
      <c r="BA43" s="144"/>
      <c r="BB43" s="126">
        <f t="shared" ref="BB43:BB112" si="264">AU43+AV43</f>
        <v>6600000</v>
      </c>
      <c r="BC43" s="126"/>
      <c r="BD43" s="97">
        <f ca="1">IFERROR(BF43-AY43,0)</f>
        <v>6600000</v>
      </c>
      <c r="BE43" s="97">
        <f t="shared" ref="BE43:BE112" si="265">SUM(E43:F43,L43:M43,S43:T43,Z43:AA43,AG43:AH43,AN43:AO43,AU43:AV43,BB43:BC43)</f>
        <v>50800000</v>
      </c>
      <c r="BF43" s="151">
        <f ca="1">IFERROR(IFERROR(VLOOKUP(TEXT($B43,0),INDIRECT("'Balance a "&amp;LEFT(BB$1,3)&amp;"'!$B$3:$G$300"),6,0),VLOOKUP(VALUE($B43),INDIRECT("'Balance a "&amp;LEFT(BB$1,3)&amp;"'!$B$3:$G$300"),6,0)),0)</f>
        <v>49726667</v>
      </c>
      <c r="BG43" s="188">
        <f ca="1">IFERROR(SUM(BB43:BC43)-BD43,0)</f>
        <v>0</v>
      </c>
      <c r="BH43" s="144"/>
      <c r="BI43" s="126">
        <f t="shared" ref="BI43:BI112" si="266">BB43+BC43</f>
        <v>6600000</v>
      </c>
      <c r="BJ43" s="126"/>
      <c r="BK43" s="97">
        <f t="shared" ref="BK43:BK74" ca="1" si="267">IFERROR(IF(BM43=0,0,BM43-BF43),0)</f>
        <v>0</v>
      </c>
      <c r="BL43" s="97">
        <f t="shared" ref="BL43:BL112" si="268">SUM(E43:F43,L43:M43,S43:T43,Z43:AA43,AG43:AH43,AN43:AO43,AU43:AV43,BB43:BC43,BI43:BJ43)</f>
        <v>57400000</v>
      </c>
      <c r="BM43" s="151">
        <f ca="1">IFERROR(IFERROR(VLOOKUP(TEXT($B43,0),INDIRECT("'Balance a "&amp;LEFT(BI$1,3)&amp;"'!$B$3:$G$300"),6,0),VLOOKUP(VALUE($B43),INDIRECT("'Balance a "&amp;LEFT(BI$1,3)&amp;"'!$B$3:$G$300"),6,0)),0)</f>
        <v>0</v>
      </c>
      <c r="BN43" s="188">
        <f ca="1">IFERROR(SUM(BI43:BJ43)-BK43,0)</f>
        <v>6600000</v>
      </c>
      <c r="BO43" s="144"/>
      <c r="BP43" s="126">
        <f t="shared" ref="BP43:BP112" si="269">BI43+BJ43</f>
        <v>6600000</v>
      </c>
      <c r="BQ43" s="126"/>
      <c r="BR43" s="97">
        <f ca="1">IFERROR(BT43-BM43,0)</f>
        <v>0</v>
      </c>
      <c r="BS43" s="97">
        <f t="shared" ref="BS43:BS112" si="270">SUM(E43:F43,L43:M43,S43:T43,Z43:AA43,AG43:AH43,AN43:AO43,AU43:AV43,BB43:BC43,BI43:BJ43,BP43:BQ43)</f>
        <v>64000000</v>
      </c>
      <c r="BT43" s="151">
        <f ca="1">IFERROR(IFERROR(VLOOKUP(TEXT($B43,0),INDIRECT("'Balance a "&amp;LEFT(BP$1,3)&amp;"'!$B$3:$G$300"),6,0),VLOOKUP(VALUE($B43),INDIRECT("'Balance a "&amp;LEFT(BP$1,3)&amp;"'!$B$3:$G$300"),6,0)),0)</f>
        <v>0</v>
      </c>
      <c r="BU43" s="188">
        <f ca="1">IFERROR(SUM(BP43:BQ43)-BR43,0)</f>
        <v>6600000</v>
      </c>
      <c r="BV43" s="144"/>
      <c r="BW43" s="126">
        <f t="shared" ref="BW43:BW112" si="271">BP43+BQ43</f>
        <v>6600000</v>
      </c>
      <c r="BX43" s="126"/>
      <c r="BY43" s="97">
        <f ca="1">IFERROR(CA43-BT43,0)</f>
        <v>0</v>
      </c>
      <c r="BZ43" s="97">
        <f t="shared" ref="BZ43:BZ112" si="272">SUM(E43:F43,L43:M43,S43:T43,Z43:AA43,AG43:AH43,AN43:AO43,AU43:AV43,BB43:BC43,BI43:BJ43,BP43:BQ43,BW43:BX43)</f>
        <v>70600000</v>
      </c>
      <c r="CA43" s="151">
        <f ca="1">IFERROR(IFERROR(VLOOKUP(TEXT($B43,0),INDIRECT("'Balance a "&amp;LEFT(BW$1,3)&amp;"'!$B$3:$G$300"),6,0),VLOOKUP(VALUE($B43),INDIRECT("'Balance a "&amp;LEFT(BW$1,3)&amp;"'!$B$3:$G$300"),6,0)),0)</f>
        <v>0</v>
      </c>
      <c r="CB43" s="188">
        <f ca="1">IFERROR(SUM(BW43:BX43)-BY43,0)</f>
        <v>6600000</v>
      </c>
      <c r="CC43" s="144"/>
      <c r="CD43" s="126">
        <f t="shared" ref="CD43" si="273">BW43+BX43</f>
        <v>6600000</v>
      </c>
      <c r="CE43" s="126"/>
      <c r="CF43" s="97">
        <f ca="1">IFERROR(CH43-CA43,0)</f>
        <v>0</v>
      </c>
      <c r="CG43" s="97">
        <f t="shared" ref="CG43:CG112" si="274">SUM(E43:F43,L43:M43,S43:T43,Z43:AA43,AG43:AH43,AN43:AO43,AU43:AV43,BB43:BC43,BI43:BJ43,BP43:BQ43,BW43:BX43,CD43:CE43)</f>
        <v>77200000</v>
      </c>
      <c r="CH43" s="151">
        <f ca="1">IFERROR(IFERROR(VLOOKUP(TEXT($B43,0),INDIRECT("'Balance a "&amp;LEFT(CD$1,3)&amp;"'!$B$3:$G$300"),6,0),VLOOKUP(VALUE($B43),INDIRECT("'Balance a "&amp;LEFT(CD$1,3)&amp;"'!$B$3:$G$300"),6,0)),0)</f>
        <v>0</v>
      </c>
      <c r="CI43" s="188">
        <f ca="1">IFERROR(SUM(CD43:CE43)-CF43,0)</f>
        <v>6600000</v>
      </c>
      <c r="CJ43" s="5"/>
      <c r="CK43" s="5"/>
      <c r="CL43" s="5"/>
    </row>
    <row r="44" spans="1:90" s="6" customFormat="1">
      <c r="A44" s="133" t="s">
        <v>95</v>
      </c>
      <c r="B44" s="63">
        <v>51051801</v>
      </c>
      <c r="C44" s="134">
        <f t="shared" ref="C44:C107" ca="1" si="275">IFERROR(IFERROR(VLOOKUP(TEXT($B44,0),INDIRECT("'Balance a "&amp;LEFT(AN$1,3)&amp;"'!$B$3:$G$300"),6,0),VLOOKUP(VALUE($B44),INDIRECT("'Balance a "&amp;LEFT(AN$1,3)&amp;"'!$B$3:$G$300"),6,0)),0)*2</f>
        <v>0</v>
      </c>
      <c r="D44" s="78"/>
      <c r="E44" s="126">
        <v>0</v>
      </c>
      <c r="F44" s="126"/>
      <c r="G44" s="104">
        <f t="shared" ca="1" si="251"/>
        <v>0</v>
      </c>
      <c r="H44" s="98">
        <f t="shared" ref="H44:H117" si="276">IFERROR(E44,0)</f>
        <v>0</v>
      </c>
      <c r="I44" s="57">
        <f t="shared" ca="1" si="252"/>
        <v>0</v>
      </c>
      <c r="J44" s="188">
        <f t="shared" ref="J44:J117" ca="1" si="277">IFERROR(G44-E44,0)</f>
        <v>0</v>
      </c>
      <c r="K44" s="70"/>
      <c r="L44" s="126">
        <f>E44+F44</f>
        <v>0</v>
      </c>
      <c r="M44" s="126"/>
      <c r="N44" s="97">
        <f t="shared" ref="N44:N113" ca="1" si="278">IFERROR(P44-I44,0)</f>
        <v>0</v>
      </c>
      <c r="O44" s="98">
        <f t="shared" ref="O44:O113" si="279">SUM(E44:F44,L44:M44)</f>
        <v>0</v>
      </c>
      <c r="P44" s="151">
        <f t="shared" ref="P44:P113" ca="1" si="280">IFERROR(IFERROR(VLOOKUP(TEXT($B44,0),INDIRECT("'Balance a "&amp;LEFT(L$1,3)&amp;"'!$B$3:$G$300"),6,0),VLOOKUP(VALUE($B44),INDIRECT("'Balance a "&amp;LEFT(L$1,3)&amp;"'!$B$3:$G$300"),6,0)),0)</f>
        <v>0</v>
      </c>
      <c r="Q44" s="188">
        <f t="shared" ref="Q44:Q113" ca="1" si="281">IFERROR(SUM(L44:M44)-N44,0)</f>
        <v>0</v>
      </c>
      <c r="R44" s="70"/>
      <c r="S44" s="126">
        <f t="shared" si="254"/>
        <v>0</v>
      </c>
      <c r="T44" s="126"/>
      <c r="U44" s="97">
        <f t="shared" ref="U44:U113" ca="1" si="282">IFERROR(W44-P44,0)</f>
        <v>0</v>
      </c>
      <c r="V44" s="97">
        <f t="shared" si="255"/>
        <v>0</v>
      </c>
      <c r="W44" s="151">
        <f t="shared" ref="W44:W113" ca="1" si="283">IFERROR(IFERROR(VLOOKUP(TEXT($B44,0),INDIRECT("'Balance a "&amp;LEFT(S$1,3)&amp;"'!$B$3:$G$300"),6,0),VLOOKUP(VALUE($B44),INDIRECT("'Balance a "&amp;LEFT(S$1,3)&amp;"'!$B$3:$G$300"),6,0)),0)</f>
        <v>0</v>
      </c>
      <c r="X44" s="188">
        <f t="shared" ref="X44:X113" ca="1" si="284">IFERROR(SUM(S44:T44)-U44,0)</f>
        <v>0</v>
      </c>
      <c r="Y44" s="70"/>
      <c r="Z44" s="126">
        <f t="shared" si="256"/>
        <v>0</v>
      </c>
      <c r="AA44" s="126"/>
      <c r="AB44" s="97">
        <f t="shared" ref="AB44:AB113" ca="1" si="285">IFERROR(AD44-W44,0)</f>
        <v>0</v>
      </c>
      <c r="AC44" s="97">
        <f t="shared" si="257"/>
        <v>0</v>
      </c>
      <c r="AD44" s="151">
        <f t="shared" ref="AD44:AD113" ca="1" si="286">IFERROR(IFERROR(VLOOKUP(TEXT($B44,0),INDIRECT("'Balance a "&amp;LEFT(Z$1,3)&amp;"'!$B$3:$G$300"),6,0),VLOOKUP(VALUE($B44),INDIRECT("'Balance a "&amp;LEFT(Z$1,3)&amp;"'!$B$3:$G$300"),6,0)),0)</f>
        <v>0</v>
      </c>
      <c r="AE44" s="188">
        <f t="shared" ref="AE44:AE113" ca="1" si="287">IFERROR(SUM(Z44:AA44)-AB44,0)</f>
        <v>0</v>
      </c>
      <c r="AF44" s="70"/>
      <c r="AG44" s="126">
        <f t="shared" si="258"/>
        <v>0</v>
      </c>
      <c r="AH44" s="126"/>
      <c r="AI44" s="97">
        <f t="shared" ref="AI44:AI113" ca="1" si="288">IFERROR(AK44-AD44,0)</f>
        <v>0</v>
      </c>
      <c r="AJ44" s="97">
        <f t="shared" si="259"/>
        <v>0</v>
      </c>
      <c r="AK44" s="151">
        <f t="shared" ref="AK44:AK113" ca="1" si="289">IFERROR(IFERROR(VLOOKUP(TEXT($B44,0),INDIRECT("'Balance a "&amp;LEFT(AG$1,3)&amp;"'!$B$3:$G$300"),6,0),VLOOKUP(VALUE($B44),INDIRECT("'Balance a "&amp;LEFT(AG$1,3)&amp;"'!$B$3:$G$300"),6,0)),0)</f>
        <v>0</v>
      </c>
      <c r="AL44" s="188">
        <f t="shared" ref="AL44:AL113" ca="1" si="290">IFERROR(SUM(AG44:AH44)-AI44,0)</f>
        <v>0</v>
      </c>
      <c r="AM44" s="70"/>
      <c r="AN44" s="126">
        <f t="shared" si="260"/>
        <v>0</v>
      </c>
      <c r="AO44" s="126"/>
      <c r="AP44" s="97">
        <f t="shared" ref="AP44:AP113" ca="1" si="291">IFERROR(AR44-AK44,0)</f>
        <v>0</v>
      </c>
      <c r="AQ44" s="97">
        <f t="shared" si="261"/>
        <v>0</v>
      </c>
      <c r="AR44" s="151">
        <f t="shared" ref="AR44:AR113" ca="1" si="292">IFERROR(IFERROR(VLOOKUP(TEXT($B44,0),INDIRECT("'Balance a "&amp;LEFT(AN$1,3)&amp;"'!$B$3:$G$300"),6,0),VLOOKUP(VALUE($B44),INDIRECT("'Balance a "&amp;LEFT(AN$1,3)&amp;"'!$B$3:$G$300"),6,0)),0)</f>
        <v>0</v>
      </c>
      <c r="AS44" s="188">
        <f t="shared" ref="AS44:AS113" ca="1" si="293">IFERROR(SUM(AN44:AO44)-AP44,0)</f>
        <v>0</v>
      </c>
      <c r="AT44" s="70"/>
      <c r="AU44" s="126">
        <f t="shared" si="262"/>
        <v>0</v>
      </c>
      <c r="AV44" s="126"/>
      <c r="AW44" s="97">
        <f t="shared" ref="AW44:AW113" ca="1" si="294">IFERROR(AY44-AR44,0)</f>
        <v>0</v>
      </c>
      <c r="AX44" s="126">
        <f t="shared" si="263"/>
        <v>0</v>
      </c>
      <c r="AY44" s="151">
        <f t="shared" ref="AY44:AY113" ca="1" si="295">IFERROR(IFERROR(VLOOKUP(TEXT($B44,0),INDIRECT("'Balance a "&amp;LEFT(AU$1,3)&amp;"'!$B$3:$G$300"),6,0),VLOOKUP(VALUE($B44),INDIRECT("'Balance a "&amp;LEFT(AU$1,3)&amp;"'!$B$3:$G$300"),6,0)),0)</f>
        <v>0</v>
      </c>
      <c r="AZ44" s="188">
        <f t="shared" ref="AZ44:AZ113" ca="1" si="296">IFERROR(SUM(AU44:AV44)-AW44,0)</f>
        <v>0</v>
      </c>
      <c r="BA44" s="144"/>
      <c r="BB44" s="126">
        <f t="shared" si="264"/>
        <v>0</v>
      </c>
      <c r="BC44" s="126"/>
      <c r="BD44" s="97">
        <f t="shared" ref="BD44:BD113" ca="1" si="297">IFERROR(BF44-AY44,0)</f>
        <v>0</v>
      </c>
      <c r="BE44" s="97">
        <f t="shared" si="265"/>
        <v>0</v>
      </c>
      <c r="BF44" s="151">
        <f t="shared" ref="BF44:BF113" ca="1" si="298">IFERROR(IFERROR(VLOOKUP(TEXT($B44,0),INDIRECT("'Balance a "&amp;LEFT(BB$1,3)&amp;"'!$B$3:$G$300"),6,0),VLOOKUP(VALUE($B44),INDIRECT("'Balance a "&amp;LEFT(BB$1,3)&amp;"'!$B$3:$G$300"),6,0)),0)</f>
        <v>0</v>
      </c>
      <c r="BG44" s="188">
        <f t="shared" ref="BG44:BG113" ca="1" si="299">IFERROR(SUM(BB44:BC44)-BD44,0)</f>
        <v>0</v>
      </c>
      <c r="BH44" s="144"/>
      <c r="BI44" s="126">
        <f t="shared" si="266"/>
        <v>0</v>
      </c>
      <c r="BJ44" s="126"/>
      <c r="BK44" s="97">
        <f t="shared" ca="1" si="267"/>
        <v>0</v>
      </c>
      <c r="BL44" s="97">
        <f t="shared" si="268"/>
        <v>0</v>
      </c>
      <c r="BM44" s="151">
        <f t="shared" ref="BM44:BM113" ca="1" si="300">IFERROR(IFERROR(VLOOKUP(TEXT($B44,0),INDIRECT("'Balance a "&amp;LEFT(BI$1,3)&amp;"'!$B$3:$G$300"),6,0),VLOOKUP(VALUE($B44),INDIRECT("'Balance a "&amp;LEFT(BI$1,3)&amp;"'!$B$3:$G$300"),6,0)),0)</f>
        <v>0</v>
      </c>
      <c r="BN44" s="188">
        <f t="shared" ref="BN44:BN113" ca="1" si="301">IFERROR(SUM(BI44:BJ44)-BK44,0)</f>
        <v>0</v>
      </c>
      <c r="BO44" s="144"/>
      <c r="BP44" s="126">
        <f t="shared" si="269"/>
        <v>0</v>
      </c>
      <c r="BQ44" s="126"/>
      <c r="BR44" s="97">
        <f t="shared" ref="BR44:BR113" ca="1" si="302">IFERROR(BT44-BM44,0)</f>
        <v>0</v>
      </c>
      <c r="BS44" s="97">
        <f t="shared" si="270"/>
        <v>0</v>
      </c>
      <c r="BT44" s="151">
        <f t="shared" ref="BT44:BT113" ca="1" si="303">IFERROR(IFERROR(VLOOKUP(TEXT($B44,0),INDIRECT("'Balance a "&amp;LEFT(BP$1,3)&amp;"'!$B$3:$G$300"),6,0),VLOOKUP(VALUE($B44),INDIRECT("'Balance a "&amp;LEFT(BP$1,3)&amp;"'!$B$3:$G$300"),6,0)),0)</f>
        <v>0</v>
      </c>
      <c r="BU44" s="188">
        <f t="shared" ref="BU44:BU113" ca="1" si="304">IFERROR(SUM(BP44:BQ44)-BR44,0)</f>
        <v>0</v>
      </c>
      <c r="BV44" s="144"/>
      <c r="BW44" s="126">
        <f t="shared" si="271"/>
        <v>0</v>
      </c>
      <c r="BX44" s="126"/>
      <c r="BY44" s="97">
        <f t="shared" ref="BY44:BY113" ca="1" si="305">IFERROR(CA44-BT44,0)</f>
        <v>0</v>
      </c>
      <c r="BZ44" s="97">
        <f t="shared" si="272"/>
        <v>0</v>
      </c>
      <c r="CA44" s="151">
        <f t="shared" ref="CA44:CA113" ca="1" si="306">IFERROR(IFERROR(VLOOKUP(TEXT($B44,0),INDIRECT("'Balance a "&amp;LEFT(BW$1,3)&amp;"'!$B$3:$G$300"),6,0),VLOOKUP(VALUE($B44),INDIRECT("'Balance a "&amp;LEFT(BW$1,3)&amp;"'!$B$3:$G$300"),6,0)),0)</f>
        <v>0</v>
      </c>
      <c r="CB44" s="188">
        <f t="shared" ref="CB44:CB113" ca="1" si="307">IFERROR(SUM(BW44:BX44)-BY44,0)</f>
        <v>0</v>
      </c>
      <c r="CC44" s="144"/>
      <c r="CD44" s="126">
        <f t="shared" ref="CD44:CD113" si="308">BW44+BX44</f>
        <v>0</v>
      </c>
      <c r="CE44" s="126"/>
      <c r="CF44" s="97">
        <f t="shared" ref="CF44:CF113" ca="1" si="309">IFERROR(CH44-CA44,0)</f>
        <v>0</v>
      </c>
      <c r="CG44" s="97">
        <f t="shared" si="274"/>
        <v>0</v>
      </c>
      <c r="CH44" s="151">
        <f t="shared" ref="CH44:CH113" ca="1" si="310">IFERROR(IFERROR(VLOOKUP(TEXT($B44,0),INDIRECT("'Balance a "&amp;LEFT(CD$1,3)&amp;"'!$B$3:$G$300"),6,0),VLOOKUP(VALUE($B44),INDIRECT("'Balance a "&amp;LEFT(CD$1,3)&amp;"'!$B$3:$G$300"),6,0)),0)</f>
        <v>0</v>
      </c>
      <c r="CI44" s="188">
        <f t="shared" ref="CI44:CI113" ca="1" si="311">IFERROR(SUM(CD44:CE44)-CF44,0)</f>
        <v>0</v>
      </c>
      <c r="CJ44" s="5"/>
      <c r="CK44" s="5"/>
      <c r="CL44" s="5"/>
    </row>
    <row r="45" spans="1:90" s="6" customFormat="1">
      <c r="A45" s="133" t="s">
        <v>101</v>
      </c>
      <c r="B45" s="63">
        <v>51052701</v>
      </c>
      <c r="C45" s="134">
        <f t="shared" ca="1" si="275"/>
        <v>2392532</v>
      </c>
      <c r="D45" s="78"/>
      <c r="E45" s="126">
        <v>0</v>
      </c>
      <c r="F45" s="126"/>
      <c r="G45" s="104">
        <f t="shared" ca="1" si="251"/>
        <v>0</v>
      </c>
      <c r="H45" s="98">
        <f t="shared" si="276"/>
        <v>0</v>
      </c>
      <c r="I45" s="57">
        <f t="shared" ca="1" si="252"/>
        <v>0</v>
      </c>
      <c r="J45" s="188">
        <f t="shared" ca="1" si="277"/>
        <v>0</v>
      </c>
      <c r="K45" s="70"/>
      <c r="L45" s="126">
        <f>'Gastos Proyectados'!H8+'Gastos Proyectados'!H11</f>
        <v>234344</v>
      </c>
      <c r="M45" s="126"/>
      <c r="N45" s="97">
        <f t="shared" ca="1" si="278"/>
        <v>234344</v>
      </c>
      <c r="O45" s="98">
        <f t="shared" si="279"/>
        <v>234344</v>
      </c>
      <c r="P45" s="151">
        <f t="shared" ca="1" si="280"/>
        <v>234344</v>
      </c>
      <c r="Q45" s="188">
        <f t="shared" ca="1" si="281"/>
        <v>0</v>
      </c>
      <c r="R45" s="70"/>
      <c r="S45" s="126">
        <f t="shared" si="254"/>
        <v>234344</v>
      </c>
      <c r="T45" s="126"/>
      <c r="U45" s="97">
        <f t="shared" ca="1" si="282"/>
        <v>234344</v>
      </c>
      <c r="V45" s="97">
        <f t="shared" si="255"/>
        <v>468688</v>
      </c>
      <c r="W45" s="151">
        <f t="shared" ca="1" si="283"/>
        <v>468688</v>
      </c>
      <c r="X45" s="188">
        <f t="shared" ca="1" si="284"/>
        <v>0</v>
      </c>
      <c r="Y45" s="70"/>
      <c r="Z45" s="126">
        <f t="shared" si="256"/>
        <v>234344</v>
      </c>
      <c r="AA45" s="126"/>
      <c r="AB45" s="97">
        <f t="shared" ca="1" si="285"/>
        <v>258890</v>
      </c>
      <c r="AC45" s="97">
        <f t="shared" si="257"/>
        <v>703032</v>
      </c>
      <c r="AD45" s="151">
        <f t="shared" ca="1" si="286"/>
        <v>727578</v>
      </c>
      <c r="AE45" s="188">
        <f t="shared" ca="1" si="287"/>
        <v>-24546</v>
      </c>
      <c r="AF45" s="70"/>
      <c r="AG45" s="126">
        <f t="shared" si="258"/>
        <v>234344</v>
      </c>
      <c r="AH45" s="126"/>
      <c r="AI45" s="97">
        <f t="shared" ca="1" si="288"/>
        <v>234344</v>
      </c>
      <c r="AJ45" s="97">
        <f t="shared" si="259"/>
        <v>937376</v>
      </c>
      <c r="AK45" s="151">
        <f t="shared" ca="1" si="289"/>
        <v>961922</v>
      </c>
      <c r="AL45" s="188">
        <f t="shared" ca="1" si="290"/>
        <v>0</v>
      </c>
      <c r="AM45" s="70"/>
      <c r="AN45" s="126">
        <f t="shared" si="260"/>
        <v>234344</v>
      </c>
      <c r="AO45" s="126"/>
      <c r="AP45" s="97">
        <f t="shared" ca="1" si="291"/>
        <v>234344</v>
      </c>
      <c r="AQ45" s="97">
        <f t="shared" si="261"/>
        <v>1171720</v>
      </c>
      <c r="AR45" s="151">
        <f t="shared" ca="1" si="292"/>
        <v>1196266</v>
      </c>
      <c r="AS45" s="188">
        <f t="shared" ca="1" si="293"/>
        <v>0</v>
      </c>
      <c r="AT45" s="70"/>
      <c r="AU45" s="126">
        <f t="shared" si="262"/>
        <v>234344</v>
      </c>
      <c r="AV45" s="126"/>
      <c r="AW45" s="97">
        <f t="shared" ca="1" si="294"/>
        <v>234344</v>
      </c>
      <c r="AX45" s="126">
        <f t="shared" si="263"/>
        <v>1406064</v>
      </c>
      <c r="AY45" s="151">
        <f t="shared" ca="1" si="295"/>
        <v>1430610</v>
      </c>
      <c r="AZ45" s="188">
        <f t="shared" ca="1" si="296"/>
        <v>0</v>
      </c>
      <c r="BA45" s="144"/>
      <c r="BB45" s="126">
        <f t="shared" si="264"/>
        <v>234344</v>
      </c>
      <c r="BC45" s="126"/>
      <c r="BD45" s="97">
        <f t="shared" ca="1" si="297"/>
        <v>234344</v>
      </c>
      <c r="BE45" s="97">
        <f t="shared" si="265"/>
        <v>1640408</v>
      </c>
      <c r="BF45" s="151">
        <f t="shared" ca="1" si="298"/>
        <v>1664954</v>
      </c>
      <c r="BG45" s="188">
        <f t="shared" ca="1" si="299"/>
        <v>0</v>
      </c>
      <c r="BH45" s="144"/>
      <c r="BI45" s="126">
        <f t="shared" si="266"/>
        <v>234344</v>
      </c>
      <c r="BJ45" s="126"/>
      <c r="BK45" s="97">
        <f t="shared" ca="1" si="267"/>
        <v>0</v>
      </c>
      <c r="BL45" s="97">
        <f t="shared" si="268"/>
        <v>1874752</v>
      </c>
      <c r="BM45" s="151">
        <f t="shared" ca="1" si="300"/>
        <v>0</v>
      </c>
      <c r="BN45" s="188">
        <f t="shared" ca="1" si="301"/>
        <v>234344</v>
      </c>
      <c r="BO45" s="144"/>
      <c r="BP45" s="126">
        <f t="shared" si="269"/>
        <v>234344</v>
      </c>
      <c r="BQ45" s="126"/>
      <c r="BR45" s="97">
        <f t="shared" ca="1" si="302"/>
        <v>0</v>
      </c>
      <c r="BS45" s="97">
        <f t="shared" si="270"/>
        <v>2109096</v>
      </c>
      <c r="BT45" s="151">
        <f t="shared" ca="1" si="303"/>
        <v>0</v>
      </c>
      <c r="BU45" s="188">
        <f t="shared" ca="1" si="304"/>
        <v>234344</v>
      </c>
      <c r="BV45" s="144"/>
      <c r="BW45" s="126">
        <f t="shared" si="271"/>
        <v>234344</v>
      </c>
      <c r="BX45" s="126"/>
      <c r="BY45" s="97">
        <f t="shared" ca="1" si="305"/>
        <v>0</v>
      </c>
      <c r="BZ45" s="97">
        <f t="shared" si="272"/>
        <v>2343440</v>
      </c>
      <c r="CA45" s="151">
        <f t="shared" ca="1" si="306"/>
        <v>0</v>
      </c>
      <c r="CB45" s="188">
        <f t="shared" ca="1" si="307"/>
        <v>234344</v>
      </c>
      <c r="CC45" s="144"/>
      <c r="CD45" s="126">
        <f t="shared" si="308"/>
        <v>234344</v>
      </c>
      <c r="CE45" s="126"/>
      <c r="CF45" s="97">
        <f t="shared" ca="1" si="309"/>
        <v>0</v>
      </c>
      <c r="CG45" s="97">
        <f t="shared" si="274"/>
        <v>2577784</v>
      </c>
      <c r="CH45" s="151">
        <f t="shared" ca="1" si="310"/>
        <v>0</v>
      </c>
      <c r="CI45" s="188">
        <f t="shared" ca="1" si="311"/>
        <v>234344</v>
      </c>
      <c r="CJ45" s="5"/>
      <c r="CK45" s="5"/>
      <c r="CL45" s="5"/>
    </row>
    <row r="46" spans="1:90" s="6" customFormat="1">
      <c r="A46" s="133" t="s">
        <v>123</v>
      </c>
      <c r="B46" s="63">
        <v>51052702</v>
      </c>
      <c r="C46" s="134">
        <f t="shared" ca="1" si="275"/>
        <v>0</v>
      </c>
      <c r="D46" s="78"/>
      <c r="E46" s="126">
        <v>0</v>
      </c>
      <c r="F46" s="126"/>
      <c r="G46" s="104">
        <f t="shared" ca="1" si="251"/>
        <v>0</v>
      </c>
      <c r="H46" s="98">
        <f t="shared" si="276"/>
        <v>0</v>
      </c>
      <c r="I46" s="57">
        <f t="shared" ca="1" si="252"/>
        <v>0</v>
      </c>
      <c r="J46" s="188">
        <f t="shared" ca="1" si="277"/>
        <v>0</v>
      </c>
      <c r="K46" s="70"/>
      <c r="L46" s="126">
        <f>E46+F46</f>
        <v>0</v>
      </c>
      <c r="M46" s="126"/>
      <c r="N46" s="97">
        <f t="shared" ca="1" si="278"/>
        <v>0</v>
      </c>
      <c r="O46" s="98">
        <f t="shared" si="279"/>
        <v>0</v>
      </c>
      <c r="P46" s="151">
        <f t="shared" ca="1" si="280"/>
        <v>0</v>
      </c>
      <c r="Q46" s="188">
        <f t="shared" ca="1" si="281"/>
        <v>0</v>
      </c>
      <c r="R46" s="70"/>
      <c r="S46" s="126">
        <f t="shared" si="254"/>
        <v>0</v>
      </c>
      <c r="T46" s="126"/>
      <c r="U46" s="97">
        <f t="shared" ca="1" si="282"/>
        <v>0</v>
      </c>
      <c r="V46" s="97">
        <f t="shared" si="255"/>
        <v>0</v>
      </c>
      <c r="W46" s="151">
        <f t="shared" ca="1" si="283"/>
        <v>0</v>
      </c>
      <c r="X46" s="188">
        <f t="shared" ca="1" si="284"/>
        <v>0</v>
      </c>
      <c r="Y46" s="70"/>
      <c r="Z46" s="126">
        <f t="shared" si="256"/>
        <v>0</v>
      </c>
      <c r="AA46" s="126"/>
      <c r="AB46" s="97">
        <f t="shared" ca="1" si="285"/>
        <v>0</v>
      </c>
      <c r="AC46" s="97">
        <f t="shared" si="257"/>
        <v>0</v>
      </c>
      <c r="AD46" s="151">
        <f t="shared" ca="1" si="286"/>
        <v>0</v>
      </c>
      <c r="AE46" s="188">
        <f t="shared" ca="1" si="287"/>
        <v>0</v>
      </c>
      <c r="AF46" s="70"/>
      <c r="AG46" s="126">
        <f t="shared" si="258"/>
        <v>0</v>
      </c>
      <c r="AH46" s="126"/>
      <c r="AI46" s="97">
        <f t="shared" ca="1" si="288"/>
        <v>0</v>
      </c>
      <c r="AJ46" s="97">
        <f t="shared" si="259"/>
        <v>0</v>
      </c>
      <c r="AK46" s="151">
        <f t="shared" ca="1" si="289"/>
        <v>0</v>
      </c>
      <c r="AL46" s="188">
        <f t="shared" ca="1" si="290"/>
        <v>0</v>
      </c>
      <c r="AM46" s="70"/>
      <c r="AN46" s="126">
        <f t="shared" si="260"/>
        <v>0</v>
      </c>
      <c r="AO46" s="126"/>
      <c r="AP46" s="97">
        <f t="shared" ca="1" si="291"/>
        <v>0</v>
      </c>
      <c r="AQ46" s="97">
        <f t="shared" si="261"/>
        <v>0</v>
      </c>
      <c r="AR46" s="151">
        <f t="shared" ca="1" si="292"/>
        <v>0</v>
      </c>
      <c r="AS46" s="188">
        <f t="shared" ca="1" si="293"/>
        <v>0</v>
      </c>
      <c r="AT46" s="70"/>
      <c r="AU46" s="126">
        <f t="shared" si="262"/>
        <v>0</v>
      </c>
      <c r="AV46" s="126"/>
      <c r="AW46" s="97">
        <f t="shared" ca="1" si="294"/>
        <v>0</v>
      </c>
      <c r="AX46" s="126">
        <f t="shared" si="263"/>
        <v>0</v>
      </c>
      <c r="AY46" s="151">
        <f t="shared" ca="1" si="295"/>
        <v>0</v>
      </c>
      <c r="AZ46" s="188">
        <f t="shared" ca="1" si="296"/>
        <v>0</v>
      </c>
      <c r="BA46" s="144"/>
      <c r="BB46" s="126">
        <f t="shared" si="264"/>
        <v>0</v>
      </c>
      <c r="BC46" s="126"/>
      <c r="BD46" s="97">
        <f t="shared" ca="1" si="297"/>
        <v>0</v>
      </c>
      <c r="BE46" s="97">
        <f t="shared" si="265"/>
        <v>0</v>
      </c>
      <c r="BF46" s="151">
        <f t="shared" ca="1" si="298"/>
        <v>0</v>
      </c>
      <c r="BG46" s="188">
        <f t="shared" ca="1" si="299"/>
        <v>0</v>
      </c>
      <c r="BH46" s="144"/>
      <c r="BI46" s="126">
        <f t="shared" si="266"/>
        <v>0</v>
      </c>
      <c r="BJ46" s="126"/>
      <c r="BK46" s="97">
        <f t="shared" ca="1" si="267"/>
        <v>0</v>
      </c>
      <c r="BL46" s="97">
        <f t="shared" si="268"/>
        <v>0</v>
      </c>
      <c r="BM46" s="151">
        <f t="shared" ca="1" si="300"/>
        <v>0</v>
      </c>
      <c r="BN46" s="188">
        <f t="shared" ca="1" si="301"/>
        <v>0</v>
      </c>
      <c r="BO46" s="144"/>
      <c r="BP46" s="126">
        <f t="shared" si="269"/>
        <v>0</v>
      </c>
      <c r="BQ46" s="126"/>
      <c r="BR46" s="97">
        <f t="shared" ca="1" si="302"/>
        <v>0</v>
      </c>
      <c r="BS46" s="97">
        <f t="shared" si="270"/>
        <v>0</v>
      </c>
      <c r="BT46" s="151">
        <f t="shared" ca="1" si="303"/>
        <v>0</v>
      </c>
      <c r="BU46" s="188">
        <f t="shared" ca="1" si="304"/>
        <v>0</v>
      </c>
      <c r="BV46" s="144"/>
      <c r="BW46" s="126">
        <f t="shared" si="271"/>
        <v>0</v>
      </c>
      <c r="BX46" s="126"/>
      <c r="BY46" s="97">
        <f t="shared" ca="1" si="305"/>
        <v>0</v>
      </c>
      <c r="BZ46" s="97">
        <f t="shared" si="272"/>
        <v>0</v>
      </c>
      <c r="CA46" s="151">
        <f t="shared" ca="1" si="306"/>
        <v>0</v>
      </c>
      <c r="CB46" s="188">
        <f t="shared" ca="1" si="307"/>
        <v>0</v>
      </c>
      <c r="CC46" s="144"/>
      <c r="CD46" s="126">
        <f t="shared" si="308"/>
        <v>0</v>
      </c>
      <c r="CE46" s="126"/>
      <c r="CF46" s="97">
        <f t="shared" ca="1" si="309"/>
        <v>0</v>
      </c>
      <c r="CG46" s="97">
        <f t="shared" si="274"/>
        <v>0</v>
      </c>
      <c r="CH46" s="151">
        <f t="shared" ca="1" si="310"/>
        <v>0</v>
      </c>
      <c r="CI46" s="188">
        <f t="shared" ca="1" si="311"/>
        <v>0</v>
      </c>
      <c r="CJ46" s="5"/>
      <c r="CK46" s="5"/>
      <c r="CL46" s="5"/>
    </row>
    <row r="47" spans="1:90" s="6" customFormat="1">
      <c r="A47" s="133" t="s">
        <v>96</v>
      </c>
      <c r="B47" s="63">
        <v>51053001</v>
      </c>
      <c r="C47" s="134">
        <f t="shared" ca="1" si="275"/>
        <v>6461956</v>
      </c>
      <c r="D47" s="78"/>
      <c r="E47" s="126">
        <v>466606.06060606061</v>
      </c>
      <c r="F47" s="126"/>
      <c r="G47" s="104">
        <f t="shared" ca="1" si="251"/>
        <v>383333</v>
      </c>
      <c r="H47" s="98">
        <f t="shared" si="276"/>
        <v>466606.06060606061</v>
      </c>
      <c r="I47" s="57">
        <f t="shared" ca="1" si="252"/>
        <v>383333</v>
      </c>
      <c r="J47" s="188">
        <f t="shared" ca="1" si="277"/>
        <v>-83273.060606060608</v>
      </c>
      <c r="K47" s="70"/>
      <c r="L47" s="126">
        <f>'Gastos Proyectados'!J8+'Gastos Proyectados'!J10+'Gastos Proyectados'!J11</f>
        <v>549878.78787878784</v>
      </c>
      <c r="M47" s="126"/>
      <c r="N47" s="97">
        <f t="shared" ca="1" si="278"/>
        <v>569529</v>
      </c>
      <c r="O47" s="98">
        <f t="shared" si="279"/>
        <v>1016484.8484848484</v>
      </c>
      <c r="P47" s="151">
        <f t="shared" ca="1" si="280"/>
        <v>952862</v>
      </c>
      <c r="Q47" s="188">
        <f t="shared" ca="1" si="281"/>
        <v>-19650.212121212156</v>
      </c>
      <c r="R47" s="70"/>
      <c r="S47" s="126">
        <f t="shared" si="254"/>
        <v>549878.78787878784</v>
      </c>
      <c r="T47" s="126"/>
      <c r="U47" s="97">
        <f t="shared" ca="1" si="282"/>
        <v>569529</v>
      </c>
      <c r="V47" s="97">
        <f t="shared" si="255"/>
        <v>1566363.6363636362</v>
      </c>
      <c r="W47" s="151">
        <f t="shared" ca="1" si="283"/>
        <v>1522391</v>
      </c>
      <c r="X47" s="188">
        <f t="shared" ca="1" si="284"/>
        <v>-19650.212121212156</v>
      </c>
      <c r="Y47" s="70"/>
      <c r="Z47" s="126">
        <f t="shared" si="256"/>
        <v>549878.78787878784</v>
      </c>
      <c r="AA47" s="126"/>
      <c r="AB47" s="97">
        <f t="shared" ca="1" si="285"/>
        <v>569529</v>
      </c>
      <c r="AC47" s="97">
        <f t="shared" si="257"/>
        <v>2116242.4242424238</v>
      </c>
      <c r="AD47" s="151">
        <f t="shared" ca="1" si="286"/>
        <v>2091920</v>
      </c>
      <c r="AE47" s="188">
        <f t="shared" ca="1" si="287"/>
        <v>-19650.212121212156</v>
      </c>
      <c r="AF47" s="70"/>
      <c r="AG47" s="126">
        <f t="shared" si="258"/>
        <v>549878.78787878784</v>
      </c>
      <c r="AH47" s="126"/>
      <c r="AI47" s="97">
        <f t="shared" ca="1" si="288"/>
        <v>569529</v>
      </c>
      <c r="AJ47" s="97">
        <f t="shared" si="259"/>
        <v>2666121.2121212119</v>
      </c>
      <c r="AK47" s="151">
        <f t="shared" ca="1" si="289"/>
        <v>2661449</v>
      </c>
      <c r="AL47" s="188">
        <f t="shared" ca="1" si="290"/>
        <v>-19650.212121212156</v>
      </c>
      <c r="AM47" s="70"/>
      <c r="AN47" s="126">
        <f t="shared" si="260"/>
        <v>549878.78787878784</v>
      </c>
      <c r="AO47" s="126"/>
      <c r="AP47" s="97">
        <f t="shared" ca="1" si="291"/>
        <v>569529</v>
      </c>
      <c r="AQ47" s="97">
        <f t="shared" si="261"/>
        <v>3216000</v>
      </c>
      <c r="AR47" s="151">
        <f t="shared" ca="1" si="292"/>
        <v>3230978</v>
      </c>
      <c r="AS47" s="188">
        <f t="shared" ca="1" si="293"/>
        <v>-19650.212121212156</v>
      </c>
      <c r="AT47" s="70"/>
      <c r="AU47" s="126">
        <f t="shared" si="262"/>
        <v>549878.78787878784</v>
      </c>
      <c r="AV47" s="126"/>
      <c r="AW47" s="97">
        <f t="shared" ca="1" si="294"/>
        <v>569529</v>
      </c>
      <c r="AX47" s="126">
        <f t="shared" si="263"/>
        <v>3765878.7878787881</v>
      </c>
      <c r="AY47" s="151">
        <f t="shared" ca="1" si="295"/>
        <v>3800507</v>
      </c>
      <c r="AZ47" s="188">
        <f t="shared" ca="1" si="296"/>
        <v>-19650.212121212156</v>
      </c>
      <c r="BA47" s="144"/>
      <c r="BB47" s="126">
        <f t="shared" si="264"/>
        <v>549878.78787878784</v>
      </c>
      <c r="BC47" s="126"/>
      <c r="BD47" s="97">
        <f t="shared" ca="1" si="297"/>
        <v>569529</v>
      </c>
      <c r="BE47" s="97">
        <f t="shared" si="265"/>
        <v>4315757.5757575762</v>
      </c>
      <c r="BF47" s="151">
        <f t="shared" ca="1" si="298"/>
        <v>4370036</v>
      </c>
      <c r="BG47" s="188">
        <f t="shared" ca="1" si="299"/>
        <v>-19650.212121212156</v>
      </c>
      <c r="BH47" s="144"/>
      <c r="BI47" s="126">
        <f t="shared" si="266"/>
        <v>549878.78787878784</v>
      </c>
      <c r="BJ47" s="126"/>
      <c r="BK47" s="97">
        <f t="shared" ca="1" si="267"/>
        <v>0</v>
      </c>
      <c r="BL47" s="97">
        <f t="shared" si="268"/>
        <v>4865636.3636363642</v>
      </c>
      <c r="BM47" s="151">
        <f t="shared" ca="1" si="300"/>
        <v>0</v>
      </c>
      <c r="BN47" s="188">
        <f t="shared" ca="1" si="301"/>
        <v>549878.78787878784</v>
      </c>
      <c r="BO47" s="144"/>
      <c r="BP47" s="126">
        <f t="shared" si="269"/>
        <v>549878.78787878784</v>
      </c>
      <c r="BQ47" s="126"/>
      <c r="BR47" s="97">
        <f t="shared" ca="1" si="302"/>
        <v>0</v>
      </c>
      <c r="BS47" s="97">
        <f t="shared" si="270"/>
        <v>5415515.1515151523</v>
      </c>
      <c r="BT47" s="151">
        <f t="shared" ca="1" si="303"/>
        <v>0</v>
      </c>
      <c r="BU47" s="188">
        <f t="shared" ca="1" si="304"/>
        <v>549878.78787878784</v>
      </c>
      <c r="BV47" s="144"/>
      <c r="BW47" s="126">
        <f t="shared" si="271"/>
        <v>549878.78787878784</v>
      </c>
      <c r="BX47" s="126"/>
      <c r="BY47" s="97">
        <f t="shared" ca="1" si="305"/>
        <v>0</v>
      </c>
      <c r="BZ47" s="97">
        <f t="shared" si="272"/>
        <v>5965393.9393939404</v>
      </c>
      <c r="CA47" s="151">
        <f t="shared" ca="1" si="306"/>
        <v>0</v>
      </c>
      <c r="CB47" s="188">
        <f t="shared" ca="1" si="307"/>
        <v>549878.78787878784</v>
      </c>
      <c r="CC47" s="144"/>
      <c r="CD47" s="126">
        <f t="shared" si="308"/>
        <v>549878.78787878784</v>
      </c>
      <c r="CE47" s="126"/>
      <c r="CF47" s="97">
        <f t="shared" ca="1" si="309"/>
        <v>0</v>
      </c>
      <c r="CG47" s="97">
        <f t="shared" si="274"/>
        <v>6515272.7272727285</v>
      </c>
      <c r="CH47" s="151">
        <f t="shared" ca="1" si="310"/>
        <v>0</v>
      </c>
      <c r="CI47" s="188">
        <f t="shared" ca="1" si="311"/>
        <v>549878.78787878784</v>
      </c>
      <c r="CJ47" s="5"/>
      <c r="CK47" s="5"/>
      <c r="CL47" s="5"/>
    </row>
    <row r="48" spans="1:90" s="6" customFormat="1">
      <c r="A48" s="133" t="s">
        <v>102</v>
      </c>
      <c r="B48" s="63">
        <v>51053301</v>
      </c>
      <c r="C48" s="134">
        <f t="shared" ca="1" si="275"/>
        <v>775440</v>
      </c>
      <c r="D48" s="78"/>
      <c r="E48" s="126">
        <v>0</v>
      </c>
      <c r="F48" s="126"/>
      <c r="G48" s="104">
        <f t="shared" ca="1" si="251"/>
        <v>46000</v>
      </c>
      <c r="H48" s="98">
        <f t="shared" si="276"/>
        <v>0</v>
      </c>
      <c r="I48" s="57">
        <f t="shared" ca="1" si="252"/>
        <v>46000</v>
      </c>
      <c r="J48" s="188">
        <f t="shared" ca="1" si="277"/>
        <v>46000</v>
      </c>
      <c r="K48" s="70"/>
      <c r="L48" s="126">
        <f>E48+F48</f>
        <v>0</v>
      </c>
      <c r="M48" s="126"/>
      <c r="N48" s="97">
        <f t="shared" ca="1" si="278"/>
        <v>68344</v>
      </c>
      <c r="O48" s="98">
        <f t="shared" si="279"/>
        <v>0</v>
      </c>
      <c r="P48" s="151">
        <f t="shared" ca="1" si="280"/>
        <v>114344</v>
      </c>
      <c r="Q48" s="188">
        <f t="shared" ca="1" si="281"/>
        <v>-68344</v>
      </c>
      <c r="R48" s="70"/>
      <c r="S48" s="126">
        <f t="shared" si="254"/>
        <v>0</v>
      </c>
      <c r="T48" s="126"/>
      <c r="U48" s="97">
        <f t="shared" ca="1" si="282"/>
        <v>68344</v>
      </c>
      <c r="V48" s="97">
        <f t="shared" si="255"/>
        <v>0</v>
      </c>
      <c r="W48" s="151">
        <f t="shared" ca="1" si="283"/>
        <v>182688</v>
      </c>
      <c r="X48" s="188">
        <f t="shared" ca="1" si="284"/>
        <v>-68344</v>
      </c>
      <c r="Y48" s="70"/>
      <c r="Z48" s="126">
        <f t="shared" si="256"/>
        <v>0</v>
      </c>
      <c r="AA48" s="126"/>
      <c r="AB48" s="97">
        <f t="shared" ca="1" si="285"/>
        <v>68344</v>
      </c>
      <c r="AC48" s="97">
        <f t="shared" si="257"/>
        <v>0</v>
      </c>
      <c r="AD48" s="151">
        <f t="shared" ca="1" si="286"/>
        <v>251032</v>
      </c>
      <c r="AE48" s="188">
        <f t="shared" ca="1" si="287"/>
        <v>-68344</v>
      </c>
      <c r="AF48" s="70"/>
      <c r="AG48" s="126">
        <f t="shared" si="258"/>
        <v>0</v>
      </c>
      <c r="AH48" s="126"/>
      <c r="AI48" s="97">
        <f t="shared" ca="1" si="288"/>
        <v>68344</v>
      </c>
      <c r="AJ48" s="97">
        <f t="shared" si="259"/>
        <v>0</v>
      </c>
      <c r="AK48" s="151">
        <f t="shared" ca="1" si="289"/>
        <v>319376</v>
      </c>
      <c r="AL48" s="188">
        <f t="shared" ca="1" si="290"/>
        <v>-68344</v>
      </c>
      <c r="AM48" s="70"/>
      <c r="AN48" s="126">
        <f t="shared" si="260"/>
        <v>0</v>
      </c>
      <c r="AO48" s="126"/>
      <c r="AP48" s="97">
        <f t="shared" ca="1" si="291"/>
        <v>68344</v>
      </c>
      <c r="AQ48" s="97">
        <f t="shared" si="261"/>
        <v>0</v>
      </c>
      <c r="AR48" s="151">
        <f t="shared" ca="1" si="292"/>
        <v>387720</v>
      </c>
      <c r="AS48" s="188">
        <f t="shared" ca="1" si="293"/>
        <v>-68344</v>
      </c>
      <c r="AT48" s="70"/>
      <c r="AU48" s="126">
        <f t="shared" si="262"/>
        <v>0</v>
      </c>
      <c r="AV48" s="126"/>
      <c r="AW48" s="97">
        <f t="shared" ca="1" si="294"/>
        <v>68344</v>
      </c>
      <c r="AX48" s="126">
        <f t="shared" si="263"/>
        <v>0</v>
      </c>
      <c r="AY48" s="151">
        <f t="shared" ca="1" si="295"/>
        <v>456064</v>
      </c>
      <c r="AZ48" s="188">
        <f t="shared" ca="1" si="296"/>
        <v>-68344</v>
      </c>
      <c r="BA48" s="144"/>
      <c r="BB48" s="126">
        <f t="shared" si="264"/>
        <v>0</v>
      </c>
      <c r="BC48" s="126"/>
      <c r="BD48" s="97">
        <f t="shared" ca="1" si="297"/>
        <v>68344</v>
      </c>
      <c r="BE48" s="97">
        <f t="shared" si="265"/>
        <v>0</v>
      </c>
      <c r="BF48" s="151">
        <f t="shared" ca="1" si="298"/>
        <v>524408</v>
      </c>
      <c r="BG48" s="188">
        <f t="shared" ca="1" si="299"/>
        <v>-68344</v>
      </c>
      <c r="BH48" s="144"/>
      <c r="BI48" s="126">
        <f t="shared" si="266"/>
        <v>0</v>
      </c>
      <c r="BJ48" s="126"/>
      <c r="BK48" s="97">
        <f t="shared" ca="1" si="267"/>
        <v>0</v>
      </c>
      <c r="BL48" s="97">
        <f t="shared" si="268"/>
        <v>0</v>
      </c>
      <c r="BM48" s="151">
        <f t="shared" ca="1" si="300"/>
        <v>0</v>
      </c>
      <c r="BN48" s="188">
        <f t="shared" ca="1" si="301"/>
        <v>0</v>
      </c>
      <c r="BO48" s="144"/>
      <c r="BP48" s="126">
        <f t="shared" si="269"/>
        <v>0</v>
      </c>
      <c r="BQ48" s="126"/>
      <c r="BR48" s="97">
        <f t="shared" ca="1" si="302"/>
        <v>0</v>
      </c>
      <c r="BS48" s="97">
        <f t="shared" si="270"/>
        <v>0</v>
      </c>
      <c r="BT48" s="151">
        <f t="shared" ca="1" si="303"/>
        <v>0</v>
      </c>
      <c r="BU48" s="188">
        <f t="shared" ca="1" si="304"/>
        <v>0</v>
      </c>
      <c r="BV48" s="144"/>
      <c r="BW48" s="126">
        <f t="shared" si="271"/>
        <v>0</v>
      </c>
      <c r="BX48" s="126"/>
      <c r="BY48" s="97">
        <f t="shared" ca="1" si="305"/>
        <v>0</v>
      </c>
      <c r="BZ48" s="97">
        <f t="shared" si="272"/>
        <v>0</v>
      </c>
      <c r="CA48" s="151">
        <f t="shared" ca="1" si="306"/>
        <v>0</v>
      </c>
      <c r="CB48" s="188">
        <f t="shared" ca="1" si="307"/>
        <v>0</v>
      </c>
      <c r="CC48" s="144"/>
      <c r="CD48" s="126">
        <f t="shared" si="308"/>
        <v>0</v>
      </c>
      <c r="CE48" s="126"/>
      <c r="CF48" s="97">
        <f t="shared" ca="1" si="309"/>
        <v>0</v>
      </c>
      <c r="CG48" s="97">
        <f t="shared" si="274"/>
        <v>0</v>
      </c>
      <c r="CH48" s="151">
        <f t="shared" ca="1" si="310"/>
        <v>0</v>
      </c>
      <c r="CI48" s="188">
        <f t="shared" ca="1" si="311"/>
        <v>0</v>
      </c>
      <c r="CJ48" s="5"/>
      <c r="CK48" s="5"/>
      <c r="CL48" s="5"/>
    </row>
    <row r="49" spans="1:90" s="6" customFormat="1">
      <c r="A49" s="133" t="s">
        <v>97</v>
      </c>
      <c r="B49" s="63">
        <v>51053601</v>
      </c>
      <c r="C49" s="134">
        <f t="shared" ca="1" si="275"/>
        <v>5322898</v>
      </c>
      <c r="D49" s="78"/>
      <c r="E49" s="126">
        <v>452833.33333333331</v>
      </c>
      <c r="F49" s="126"/>
      <c r="G49" s="104">
        <f t="shared" ca="1" si="251"/>
        <v>383333</v>
      </c>
      <c r="H49" s="98">
        <f t="shared" si="276"/>
        <v>452833.33333333331</v>
      </c>
      <c r="I49" s="57">
        <f t="shared" ca="1" si="252"/>
        <v>383333</v>
      </c>
      <c r="J49" s="188">
        <f t="shared" ca="1" si="277"/>
        <v>-69500.333333333314</v>
      </c>
      <c r="K49" s="70"/>
      <c r="L49" s="126">
        <f t="shared" ref="L49:L118" si="312">E49+F49</f>
        <v>452833.33333333331</v>
      </c>
      <c r="M49" s="126"/>
      <c r="N49" s="97">
        <f t="shared" ca="1" si="278"/>
        <v>569529</v>
      </c>
      <c r="O49" s="98">
        <f t="shared" si="279"/>
        <v>905666.66666666663</v>
      </c>
      <c r="P49" s="151">
        <f t="shared" ca="1" si="280"/>
        <v>952862</v>
      </c>
      <c r="Q49" s="188">
        <f t="shared" ca="1" si="281"/>
        <v>-116695.66666666669</v>
      </c>
      <c r="R49" s="70"/>
      <c r="S49" s="126">
        <f t="shared" si="254"/>
        <v>452833.33333333331</v>
      </c>
      <c r="T49" s="126"/>
      <c r="U49" s="97">
        <f t="shared" ca="1" si="282"/>
        <v>569529</v>
      </c>
      <c r="V49" s="97">
        <f t="shared" si="255"/>
        <v>1358500</v>
      </c>
      <c r="W49" s="151">
        <f t="shared" ca="1" si="283"/>
        <v>1522391</v>
      </c>
      <c r="X49" s="188">
        <f t="shared" ca="1" si="284"/>
        <v>-116695.66666666669</v>
      </c>
      <c r="Y49" s="70"/>
      <c r="Z49" s="126">
        <f t="shared" si="256"/>
        <v>452833.33333333331</v>
      </c>
      <c r="AA49" s="126"/>
      <c r="AB49" s="97">
        <f t="shared" ca="1" si="285"/>
        <v>569529</v>
      </c>
      <c r="AC49" s="97">
        <f t="shared" si="257"/>
        <v>1811333.3333333333</v>
      </c>
      <c r="AD49" s="151">
        <f t="shared" ca="1" si="286"/>
        <v>2091920</v>
      </c>
      <c r="AE49" s="188">
        <f t="shared" ca="1" si="287"/>
        <v>-116695.66666666669</v>
      </c>
      <c r="AF49" s="70"/>
      <c r="AG49" s="126">
        <f t="shared" si="258"/>
        <v>452833.33333333331</v>
      </c>
      <c r="AH49" s="126"/>
      <c r="AI49" s="97">
        <f t="shared" ca="1" si="288"/>
        <v>569529</v>
      </c>
      <c r="AJ49" s="97">
        <f t="shared" si="259"/>
        <v>2264166.6666666665</v>
      </c>
      <c r="AK49" s="151">
        <f t="shared" ca="1" si="289"/>
        <v>2661449</v>
      </c>
      <c r="AL49" s="188">
        <f t="shared" ca="1" si="290"/>
        <v>-116695.66666666669</v>
      </c>
      <c r="AM49" s="70"/>
      <c r="AN49" s="126">
        <f t="shared" si="260"/>
        <v>452833.33333333331</v>
      </c>
      <c r="AO49" s="126"/>
      <c r="AP49" s="97">
        <f t="shared" ca="1" si="291"/>
        <v>0</v>
      </c>
      <c r="AQ49" s="97">
        <f t="shared" si="261"/>
        <v>2717000</v>
      </c>
      <c r="AR49" s="151">
        <f t="shared" ca="1" si="292"/>
        <v>2661449</v>
      </c>
      <c r="AS49" s="188">
        <f t="shared" ca="1" si="293"/>
        <v>452833.33333333331</v>
      </c>
      <c r="AT49" s="70"/>
      <c r="AU49" s="126">
        <f t="shared" si="262"/>
        <v>452833.33333333331</v>
      </c>
      <c r="AV49" s="126"/>
      <c r="AW49" s="97">
        <f t="shared" ca="1" si="294"/>
        <v>569529</v>
      </c>
      <c r="AX49" s="126">
        <f t="shared" si="263"/>
        <v>3169833.3333333335</v>
      </c>
      <c r="AY49" s="151">
        <f t="shared" ca="1" si="295"/>
        <v>3230978</v>
      </c>
      <c r="AZ49" s="188">
        <f t="shared" ca="1" si="296"/>
        <v>-116695.66666666669</v>
      </c>
      <c r="BA49" s="144"/>
      <c r="BB49" s="126">
        <f t="shared" si="264"/>
        <v>452833.33333333331</v>
      </c>
      <c r="BC49" s="126"/>
      <c r="BD49" s="97">
        <f t="shared" ca="1" si="297"/>
        <v>569529</v>
      </c>
      <c r="BE49" s="97">
        <f t="shared" si="265"/>
        <v>3622666.666666667</v>
      </c>
      <c r="BF49" s="151">
        <f t="shared" ca="1" si="298"/>
        <v>3800507</v>
      </c>
      <c r="BG49" s="188">
        <f t="shared" ca="1" si="299"/>
        <v>-116695.66666666669</v>
      </c>
      <c r="BH49" s="144"/>
      <c r="BI49" s="126">
        <f t="shared" si="266"/>
        <v>452833.33333333331</v>
      </c>
      <c r="BJ49" s="126"/>
      <c r="BK49" s="97">
        <f t="shared" ca="1" si="267"/>
        <v>0</v>
      </c>
      <c r="BL49" s="97">
        <f t="shared" si="268"/>
        <v>4075500.0000000005</v>
      </c>
      <c r="BM49" s="151">
        <f t="shared" ca="1" si="300"/>
        <v>0</v>
      </c>
      <c r="BN49" s="188">
        <f t="shared" ca="1" si="301"/>
        <v>452833.33333333331</v>
      </c>
      <c r="BO49" s="144"/>
      <c r="BP49" s="126">
        <f t="shared" si="269"/>
        <v>452833.33333333331</v>
      </c>
      <c r="BQ49" s="126"/>
      <c r="BR49" s="97">
        <f t="shared" ca="1" si="302"/>
        <v>0</v>
      </c>
      <c r="BS49" s="97">
        <f t="shared" si="270"/>
        <v>4528333.333333334</v>
      </c>
      <c r="BT49" s="151">
        <f t="shared" ca="1" si="303"/>
        <v>0</v>
      </c>
      <c r="BU49" s="188">
        <f t="shared" ca="1" si="304"/>
        <v>452833.33333333331</v>
      </c>
      <c r="BV49" s="144"/>
      <c r="BW49" s="126">
        <f t="shared" si="271"/>
        <v>452833.33333333331</v>
      </c>
      <c r="BX49" s="126"/>
      <c r="BY49" s="97">
        <f t="shared" ca="1" si="305"/>
        <v>0</v>
      </c>
      <c r="BZ49" s="97">
        <f t="shared" si="272"/>
        <v>4981166.666666667</v>
      </c>
      <c r="CA49" s="151">
        <f t="shared" ca="1" si="306"/>
        <v>0</v>
      </c>
      <c r="CB49" s="188">
        <f t="shared" ca="1" si="307"/>
        <v>452833.33333333331</v>
      </c>
      <c r="CC49" s="144"/>
      <c r="CD49" s="126">
        <f t="shared" si="308"/>
        <v>452833.33333333331</v>
      </c>
      <c r="CE49" s="126"/>
      <c r="CF49" s="97">
        <f t="shared" ca="1" si="309"/>
        <v>0</v>
      </c>
      <c r="CG49" s="97">
        <f t="shared" si="274"/>
        <v>5434000</v>
      </c>
      <c r="CH49" s="151">
        <f t="shared" ca="1" si="310"/>
        <v>0</v>
      </c>
      <c r="CI49" s="188">
        <f t="shared" ca="1" si="311"/>
        <v>452833.33333333331</v>
      </c>
      <c r="CJ49" s="5"/>
      <c r="CK49" s="5"/>
      <c r="CL49" s="5"/>
    </row>
    <row r="50" spans="1:90" s="6" customFormat="1">
      <c r="A50" s="133" t="s">
        <v>98</v>
      </c>
      <c r="B50" s="63">
        <v>51053901</v>
      </c>
      <c r="C50" s="134">
        <f t="shared" ca="1" si="275"/>
        <v>3133344</v>
      </c>
      <c r="D50" s="78"/>
      <c r="E50" s="126">
        <f ca="1">$C50/COUNTA(E$1:$CI$1)</f>
        <v>261112</v>
      </c>
      <c r="F50" s="126"/>
      <c r="G50" s="104">
        <f t="shared" ca="1" si="251"/>
        <v>191667</v>
      </c>
      <c r="H50" s="98">
        <f t="shared" ca="1" si="276"/>
        <v>261112</v>
      </c>
      <c r="I50" s="57">
        <f t="shared" ca="1" si="252"/>
        <v>191667</v>
      </c>
      <c r="J50" s="188">
        <f t="shared" ca="1" si="277"/>
        <v>-69445</v>
      </c>
      <c r="K50" s="70"/>
      <c r="L50" s="126">
        <f t="shared" ca="1" si="312"/>
        <v>261112</v>
      </c>
      <c r="M50" s="126"/>
      <c r="N50" s="97">
        <f t="shared" ca="1" si="278"/>
        <v>275001</v>
      </c>
      <c r="O50" s="98">
        <f t="shared" ca="1" si="279"/>
        <v>522224</v>
      </c>
      <c r="P50" s="151">
        <f t="shared" ca="1" si="280"/>
        <v>466668</v>
      </c>
      <c r="Q50" s="188">
        <f t="shared" ca="1" si="281"/>
        <v>-13889</v>
      </c>
      <c r="R50" s="70"/>
      <c r="S50" s="126">
        <f t="shared" ca="1" si="254"/>
        <v>261112</v>
      </c>
      <c r="T50" s="126"/>
      <c r="U50" s="97">
        <f t="shared" ca="1" si="282"/>
        <v>275001</v>
      </c>
      <c r="V50" s="97">
        <f t="shared" ca="1" si="255"/>
        <v>783336</v>
      </c>
      <c r="W50" s="151">
        <f t="shared" ca="1" si="283"/>
        <v>741669</v>
      </c>
      <c r="X50" s="188">
        <f t="shared" ca="1" si="284"/>
        <v>-13889</v>
      </c>
      <c r="Y50" s="70"/>
      <c r="Z50" s="126">
        <f t="shared" ca="1" si="256"/>
        <v>261112</v>
      </c>
      <c r="AA50" s="126"/>
      <c r="AB50" s="97">
        <f t="shared" ca="1" si="285"/>
        <v>275001</v>
      </c>
      <c r="AC50" s="97">
        <f t="shared" ca="1" si="257"/>
        <v>1044448</v>
      </c>
      <c r="AD50" s="151">
        <f t="shared" ca="1" si="286"/>
        <v>1016670</v>
      </c>
      <c r="AE50" s="188">
        <f t="shared" ca="1" si="287"/>
        <v>-13889</v>
      </c>
      <c r="AF50" s="70"/>
      <c r="AG50" s="126">
        <f t="shared" ca="1" si="258"/>
        <v>261112</v>
      </c>
      <c r="AH50" s="126"/>
      <c r="AI50" s="97">
        <f t="shared" ca="1" si="288"/>
        <v>275001</v>
      </c>
      <c r="AJ50" s="97">
        <f t="shared" ca="1" si="259"/>
        <v>1305560</v>
      </c>
      <c r="AK50" s="151">
        <f t="shared" ca="1" si="289"/>
        <v>1291671</v>
      </c>
      <c r="AL50" s="188">
        <f t="shared" ca="1" si="290"/>
        <v>-13889</v>
      </c>
      <c r="AM50" s="70"/>
      <c r="AN50" s="126">
        <f t="shared" ca="1" si="260"/>
        <v>261112</v>
      </c>
      <c r="AO50" s="126"/>
      <c r="AP50" s="97">
        <f t="shared" ca="1" si="291"/>
        <v>275001</v>
      </c>
      <c r="AQ50" s="97">
        <f t="shared" ca="1" si="261"/>
        <v>1566672</v>
      </c>
      <c r="AR50" s="151">
        <f t="shared" ca="1" si="292"/>
        <v>1566672</v>
      </c>
      <c r="AS50" s="188">
        <f t="shared" ca="1" si="293"/>
        <v>-13889</v>
      </c>
      <c r="AT50" s="70"/>
      <c r="AU50" s="126">
        <f t="shared" ca="1" si="262"/>
        <v>261112</v>
      </c>
      <c r="AV50" s="126"/>
      <c r="AW50" s="97">
        <f t="shared" ca="1" si="294"/>
        <v>275001</v>
      </c>
      <c r="AX50" s="126">
        <f t="shared" ca="1" si="263"/>
        <v>1827784</v>
      </c>
      <c r="AY50" s="151">
        <f t="shared" ca="1" si="295"/>
        <v>1841673</v>
      </c>
      <c r="AZ50" s="188">
        <f t="shared" ca="1" si="296"/>
        <v>-13889</v>
      </c>
      <c r="BA50" s="144"/>
      <c r="BB50" s="126">
        <f t="shared" ca="1" si="264"/>
        <v>261112</v>
      </c>
      <c r="BC50" s="126"/>
      <c r="BD50" s="97">
        <f t="shared" ca="1" si="297"/>
        <v>275001</v>
      </c>
      <c r="BE50" s="97">
        <f t="shared" ca="1" si="265"/>
        <v>2088896</v>
      </c>
      <c r="BF50" s="151">
        <f t="shared" ca="1" si="298"/>
        <v>2116674</v>
      </c>
      <c r="BG50" s="188">
        <f t="shared" ca="1" si="299"/>
        <v>-13889</v>
      </c>
      <c r="BH50" s="144"/>
      <c r="BI50" s="126">
        <f t="shared" ca="1" si="266"/>
        <v>261112</v>
      </c>
      <c r="BJ50" s="126"/>
      <c r="BK50" s="97">
        <f t="shared" ca="1" si="267"/>
        <v>0</v>
      </c>
      <c r="BL50" s="97">
        <f t="shared" ca="1" si="268"/>
        <v>2350008</v>
      </c>
      <c r="BM50" s="151">
        <f t="shared" ca="1" si="300"/>
        <v>0</v>
      </c>
      <c r="BN50" s="188">
        <f t="shared" ca="1" si="301"/>
        <v>261112</v>
      </c>
      <c r="BO50" s="144"/>
      <c r="BP50" s="126">
        <f t="shared" ca="1" si="269"/>
        <v>261112</v>
      </c>
      <c r="BQ50" s="126"/>
      <c r="BR50" s="97">
        <f t="shared" ca="1" si="302"/>
        <v>0</v>
      </c>
      <c r="BS50" s="97">
        <f t="shared" ca="1" si="270"/>
        <v>2611120</v>
      </c>
      <c r="BT50" s="151">
        <f t="shared" ca="1" si="303"/>
        <v>0</v>
      </c>
      <c r="BU50" s="188">
        <f t="shared" ca="1" si="304"/>
        <v>261112</v>
      </c>
      <c r="BV50" s="144"/>
      <c r="BW50" s="126">
        <f t="shared" ca="1" si="271"/>
        <v>261112</v>
      </c>
      <c r="BX50" s="126"/>
      <c r="BY50" s="97">
        <f t="shared" ca="1" si="305"/>
        <v>0</v>
      </c>
      <c r="BZ50" s="97">
        <f t="shared" ca="1" si="272"/>
        <v>2872232</v>
      </c>
      <c r="CA50" s="151">
        <f t="shared" ca="1" si="306"/>
        <v>0</v>
      </c>
      <c r="CB50" s="188">
        <f t="shared" ca="1" si="307"/>
        <v>261112</v>
      </c>
      <c r="CC50" s="144"/>
      <c r="CD50" s="126">
        <f t="shared" ca="1" si="308"/>
        <v>261112</v>
      </c>
      <c r="CE50" s="126"/>
      <c r="CF50" s="97">
        <f t="shared" ca="1" si="309"/>
        <v>0</v>
      </c>
      <c r="CG50" s="97">
        <f t="shared" ca="1" si="274"/>
        <v>3133344</v>
      </c>
      <c r="CH50" s="151">
        <f t="shared" ca="1" si="310"/>
        <v>0</v>
      </c>
      <c r="CI50" s="188">
        <f t="shared" ca="1" si="311"/>
        <v>261112</v>
      </c>
      <c r="CJ50" s="5"/>
      <c r="CK50" s="5"/>
      <c r="CL50" s="5"/>
    </row>
    <row r="51" spans="1:90" s="6" customFormat="1">
      <c r="A51" s="133" t="s">
        <v>124</v>
      </c>
      <c r="B51" s="63">
        <v>51054801</v>
      </c>
      <c r="C51" s="134">
        <f t="shared" ca="1" si="275"/>
        <v>0</v>
      </c>
      <c r="D51" s="78"/>
      <c r="E51" s="126">
        <f ca="1">$C51/COUNTA(E$1:$CI$1)</f>
        <v>0</v>
      </c>
      <c r="F51" s="126"/>
      <c r="G51" s="104">
        <f t="shared" ca="1" si="251"/>
        <v>0</v>
      </c>
      <c r="H51" s="98">
        <f t="shared" ca="1" si="276"/>
        <v>0</v>
      </c>
      <c r="I51" s="57">
        <f t="shared" ca="1" si="252"/>
        <v>0</v>
      </c>
      <c r="J51" s="188">
        <f t="shared" ca="1" si="277"/>
        <v>0</v>
      </c>
      <c r="K51" s="70"/>
      <c r="L51" s="126">
        <f t="shared" ca="1" si="312"/>
        <v>0</v>
      </c>
      <c r="M51" s="126"/>
      <c r="N51" s="97">
        <f t="shared" ca="1" si="278"/>
        <v>0</v>
      </c>
      <c r="O51" s="98">
        <f t="shared" ca="1" si="279"/>
        <v>0</v>
      </c>
      <c r="P51" s="151">
        <f t="shared" ca="1" si="280"/>
        <v>0</v>
      </c>
      <c r="Q51" s="188">
        <f t="shared" ca="1" si="281"/>
        <v>0</v>
      </c>
      <c r="R51" s="70"/>
      <c r="S51" s="126">
        <f t="shared" ca="1" si="254"/>
        <v>0</v>
      </c>
      <c r="T51" s="126"/>
      <c r="U51" s="97">
        <f t="shared" ca="1" si="282"/>
        <v>0</v>
      </c>
      <c r="V51" s="97">
        <f t="shared" ca="1" si="255"/>
        <v>0</v>
      </c>
      <c r="W51" s="151">
        <f t="shared" ca="1" si="283"/>
        <v>0</v>
      </c>
      <c r="X51" s="188">
        <f t="shared" ca="1" si="284"/>
        <v>0</v>
      </c>
      <c r="Y51" s="70"/>
      <c r="Z51" s="126">
        <f t="shared" ca="1" si="256"/>
        <v>0</v>
      </c>
      <c r="AA51" s="126"/>
      <c r="AB51" s="97">
        <f t="shared" ca="1" si="285"/>
        <v>0</v>
      </c>
      <c r="AC51" s="97">
        <f t="shared" ca="1" si="257"/>
        <v>0</v>
      </c>
      <c r="AD51" s="151">
        <f t="shared" ca="1" si="286"/>
        <v>0</v>
      </c>
      <c r="AE51" s="188">
        <f t="shared" ca="1" si="287"/>
        <v>0</v>
      </c>
      <c r="AF51" s="70"/>
      <c r="AG51" s="126">
        <f t="shared" ca="1" si="258"/>
        <v>0</v>
      </c>
      <c r="AH51" s="126"/>
      <c r="AI51" s="97">
        <f t="shared" ca="1" si="288"/>
        <v>0</v>
      </c>
      <c r="AJ51" s="97">
        <f t="shared" ca="1" si="259"/>
        <v>0</v>
      </c>
      <c r="AK51" s="151">
        <f t="shared" ca="1" si="289"/>
        <v>0</v>
      </c>
      <c r="AL51" s="188">
        <f t="shared" ca="1" si="290"/>
        <v>0</v>
      </c>
      <c r="AM51" s="70"/>
      <c r="AN51" s="126">
        <f t="shared" ca="1" si="260"/>
        <v>0</v>
      </c>
      <c r="AO51" s="126"/>
      <c r="AP51" s="97">
        <f t="shared" ca="1" si="291"/>
        <v>0</v>
      </c>
      <c r="AQ51" s="97">
        <f t="shared" ca="1" si="261"/>
        <v>0</v>
      </c>
      <c r="AR51" s="151">
        <f t="shared" ca="1" si="292"/>
        <v>0</v>
      </c>
      <c r="AS51" s="188">
        <f t="shared" ca="1" si="293"/>
        <v>0</v>
      </c>
      <c r="AT51" s="70"/>
      <c r="AU51" s="126">
        <f t="shared" ca="1" si="262"/>
        <v>0</v>
      </c>
      <c r="AV51" s="126"/>
      <c r="AW51" s="97">
        <f t="shared" ca="1" si="294"/>
        <v>0</v>
      </c>
      <c r="AX51" s="126">
        <f t="shared" ca="1" si="263"/>
        <v>0</v>
      </c>
      <c r="AY51" s="151">
        <f t="shared" ca="1" si="295"/>
        <v>0</v>
      </c>
      <c r="AZ51" s="188">
        <f t="shared" ca="1" si="296"/>
        <v>0</v>
      </c>
      <c r="BA51" s="144"/>
      <c r="BB51" s="126">
        <f t="shared" ca="1" si="264"/>
        <v>0</v>
      </c>
      <c r="BC51" s="126"/>
      <c r="BD51" s="97">
        <f t="shared" ca="1" si="297"/>
        <v>0</v>
      </c>
      <c r="BE51" s="97">
        <f t="shared" ca="1" si="265"/>
        <v>0</v>
      </c>
      <c r="BF51" s="151">
        <f t="shared" ca="1" si="298"/>
        <v>0</v>
      </c>
      <c r="BG51" s="188">
        <f t="shared" ca="1" si="299"/>
        <v>0</v>
      </c>
      <c r="BH51" s="144"/>
      <c r="BI51" s="126">
        <f t="shared" ca="1" si="266"/>
        <v>0</v>
      </c>
      <c r="BJ51" s="126"/>
      <c r="BK51" s="97">
        <f t="shared" ca="1" si="267"/>
        <v>0</v>
      </c>
      <c r="BL51" s="97">
        <f t="shared" ca="1" si="268"/>
        <v>0</v>
      </c>
      <c r="BM51" s="151">
        <f t="shared" ca="1" si="300"/>
        <v>0</v>
      </c>
      <c r="BN51" s="188">
        <f t="shared" ca="1" si="301"/>
        <v>0</v>
      </c>
      <c r="BO51" s="144"/>
      <c r="BP51" s="126">
        <f t="shared" ca="1" si="269"/>
        <v>0</v>
      </c>
      <c r="BQ51" s="126"/>
      <c r="BR51" s="97">
        <f t="shared" ca="1" si="302"/>
        <v>0</v>
      </c>
      <c r="BS51" s="97">
        <f t="shared" ca="1" si="270"/>
        <v>0</v>
      </c>
      <c r="BT51" s="151">
        <f t="shared" ca="1" si="303"/>
        <v>0</v>
      </c>
      <c r="BU51" s="188">
        <f t="shared" ca="1" si="304"/>
        <v>0</v>
      </c>
      <c r="BV51" s="144"/>
      <c r="BW51" s="126">
        <f t="shared" ca="1" si="271"/>
        <v>0</v>
      </c>
      <c r="BX51" s="126"/>
      <c r="BY51" s="97">
        <f t="shared" ca="1" si="305"/>
        <v>0</v>
      </c>
      <c r="BZ51" s="97">
        <f t="shared" ca="1" si="272"/>
        <v>0</v>
      </c>
      <c r="CA51" s="151">
        <f t="shared" ca="1" si="306"/>
        <v>0</v>
      </c>
      <c r="CB51" s="188">
        <f t="shared" ca="1" si="307"/>
        <v>0</v>
      </c>
      <c r="CC51" s="144"/>
      <c r="CD51" s="126">
        <f t="shared" ca="1" si="308"/>
        <v>0</v>
      </c>
      <c r="CE51" s="126"/>
      <c r="CF51" s="97">
        <f t="shared" ca="1" si="309"/>
        <v>0</v>
      </c>
      <c r="CG51" s="97">
        <f t="shared" ca="1" si="274"/>
        <v>0</v>
      </c>
      <c r="CH51" s="151">
        <f t="shared" ca="1" si="310"/>
        <v>0</v>
      </c>
      <c r="CI51" s="188">
        <f t="shared" ca="1" si="311"/>
        <v>0</v>
      </c>
      <c r="CJ51" s="5"/>
      <c r="CK51" s="5"/>
      <c r="CL51" s="5"/>
    </row>
    <row r="52" spans="1:90" s="6" customFormat="1">
      <c r="A52" s="133" t="s">
        <v>607</v>
      </c>
      <c r="B52" s="63">
        <v>51055101</v>
      </c>
      <c r="C52" s="134">
        <f t="shared" ca="1" si="275"/>
        <v>0</v>
      </c>
      <c r="D52" s="78"/>
      <c r="E52" s="126">
        <f ca="1">$C52/COUNTA(E$1:$CI$1)</f>
        <v>0</v>
      </c>
      <c r="F52" s="126"/>
      <c r="G52" s="104">
        <f t="shared" ref="G52" ca="1" si="313">IFERROR(I52,0)</f>
        <v>0</v>
      </c>
      <c r="H52" s="98">
        <f t="shared" ref="H52" ca="1" si="314">IFERROR(E52,0)</f>
        <v>0</v>
      </c>
      <c r="I52" s="57">
        <f t="shared" ref="I52" ca="1" si="315">IFERROR(IFERROR(VLOOKUP(TEXT($B52,0),INDIRECT("'Balance a "&amp;LEFT(E$1,3)&amp;"'!$B$3:$G$300"),4,0),VLOOKUP(VALUE($B52),INDIRECT("'Balance a "&amp;LEFT(E$1,3)&amp;"'!$B$3:$G$300"),4,0)),0)</f>
        <v>0</v>
      </c>
      <c r="J52" s="188">
        <f t="shared" ref="J52" ca="1" si="316">IFERROR(G52-E52,0)</f>
        <v>0</v>
      </c>
      <c r="K52" s="70"/>
      <c r="L52" s="126">
        <f t="shared" ref="L52" ca="1" si="317">E52+F52</f>
        <v>0</v>
      </c>
      <c r="M52" s="126"/>
      <c r="N52" s="97">
        <f t="shared" ref="N52" ca="1" si="318">IFERROR(P52-I52,0)</f>
        <v>0</v>
      </c>
      <c r="O52" s="98">
        <f t="shared" ref="O52" ca="1" si="319">SUM(E52:F52,L52:M52)</f>
        <v>0</v>
      </c>
      <c r="P52" s="151">
        <f t="shared" ref="P52" ca="1" si="320">IFERROR(IFERROR(VLOOKUP(TEXT($B52,0),INDIRECT("'Balance a "&amp;LEFT(L$1,3)&amp;"'!$B$3:$G$300"),6,0),VLOOKUP(VALUE($B52),INDIRECT("'Balance a "&amp;LEFT(L$1,3)&amp;"'!$B$3:$G$300"),6,0)),0)</f>
        <v>0</v>
      </c>
      <c r="Q52" s="188">
        <f t="shared" ref="Q52" ca="1" si="321">IFERROR(SUM(L52:M52)-N52,0)</f>
        <v>0</v>
      </c>
      <c r="R52" s="70"/>
      <c r="S52" s="126">
        <f t="shared" ref="S52" ca="1" si="322">L52+M52</f>
        <v>0</v>
      </c>
      <c r="T52" s="126"/>
      <c r="U52" s="97">
        <f t="shared" ref="U52" ca="1" si="323">IFERROR(W52-P52,0)</f>
        <v>0</v>
      </c>
      <c r="V52" s="97">
        <f t="shared" ref="V52" ca="1" si="324">SUM(E52:F52,L52:M52,S52:T52)</f>
        <v>0</v>
      </c>
      <c r="W52" s="151">
        <f t="shared" ref="W52" ca="1" si="325">IFERROR(IFERROR(VLOOKUP(TEXT($B52,0),INDIRECT("'Balance a "&amp;LEFT(S$1,3)&amp;"'!$B$3:$G$300"),6,0),VLOOKUP(VALUE($B52),INDIRECT("'Balance a "&amp;LEFT(S$1,3)&amp;"'!$B$3:$G$300"),6,0)),0)</f>
        <v>0</v>
      </c>
      <c r="X52" s="188">
        <f t="shared" ref="X52" ca="1" si="326">IFERROR(SUM(S52:T52)-U52,0)</f>
        <v>0</v>
      </c>
      <c r="Y52" s="70"/>
      <c r="Z52" s="126">
        <f t="shared" ref="Z52" ca="1" si="327">S52+T52</f>
        <v>0</v>
      </c>
      <c r="AA52" s="126"/>
      <c r="AB52" s="97">
        <f t="shared" ref="AB52" ca="1" si="328">IFERROR(AD52-W52,0)</f>
        <v>0</v>
      </c>
      <c r="AC52" s="97">
        <f t="shared" ref="AC52" ca="1" si="329">SUM(E52:F52,L52:M52,S52:T52,Z52:AA52)</f>
        <v>0</v>
      </c>
      <c r="AD52" s="151">
        <f t="shared" ref="AD52" ca="1" si="330">IFERROR(IFERROR(VLOOKUP(TEXT($B52,0),INDIRECT("'Balance a "&amp;LEFT(Z$1,3)&amp;"'!$B$3:$G$300"),6,0),VLOOKUP(VALUE($B52),INDIRECT("'Balance a "&amp;LEFT(Z$1,3)&amp;"'!$B$3:$G$300"),6,0)),0)</f>
        <v>0</v>
      </c>
      <c r="AE52" s="188">
        <f t="shared" ref="AE52" ca="1" si="331">IFERROR(SUM(Z52:AA52)-AB52,0)</f>
        <v>0</v>
      </c>
      <c r="AF52" s="70"/>
      <c r="AG52" s="126">
        <f t="shared" ref="AG52" ca="1" si="332">Z52+AA52</f>
        <v>0</v>
      </c>
      <c r="AH52" s="126"/>
      <c r="AI52" s="97">
        <f t="shared" ref="AI52" ca="1" si="333">IFERROR(AK52-AD52,0)</f>
        <v>0</v>
      </c>
      <c r="AJ52" s="97">
        <f t="shared" ref="AJ52" ca="1" si="334">SUM(E52:F52,L52:M52,S52:T52,Z52:AA52,AG52:AH52)</f>
        <v>0</v>
      </c>
      <c r="AK52" s="151">
        <f t="shared" ref="AK52" ca="1" si="335">IFERROR(IFERROR(VLOOKUP(TEXT($B52,0),INDIRECT("'Balance a "&amp;LEFT(AG$1,3)&amp;"'!$B$3:$G$300"),6,0),VLOOKUP(VALUE($B52),INDIRECT("'Balance a "&amp;LEFT(AG$1,3)&amp;"'!$B$3:$G$300"),6,0)),0)</f>
        <v>0</v>
      </c>
      <c r="AL52" s="188">
        <f t="shared" ref="AL52" ca="1" si="336">IFERROR(SUM(AG52:AH52)-AI52,0)</f>
        <v>0</v>
      </c>
      <c r="AM52" s="70"/>
      <c r="AN52" s="126">
        <f t="shared" ref="AN52" ca="1" si="337">AG52+AH52</f>
        <v>0</v>
      </c>
      <c r="AO52" s="126"/>
      <c r="AP52" s="97">
        <f t="shared" ref="AP52" ca="1" si="338">IFERROR(AR52-AK52,0)</f>
        <v>0</v>
      </c>
      <c r="AQ52" s="97">
        <f t="shared" ref="AQ52" ca="1" si="339">SUM(E52:F52,L52:M52,S52:T52,Z52:AA52,AG52:AH52,AN52:AO52)</f>
        <v>0</v>
      </c>
      <c r="AR52" s="151">
        <f t="shared" ref="AR52" ca="1" si="340">IFERROR(IFERROR(VLOOKUP(TEXT($B52,0),INDIRECT("'Balance a "&amp;LEFT(AN$1,3)&amp;"'!$B$3:$G$300"),6,0),VLOOKUP(VALUE($B52),INDIRECT("'Balance a "&amp;LEFT(AN$1,3)&amp;"'!$B$3:$G$300"),6,0)),0)</f>
        <v>0</v>
      </c>
      <c r="AS52" s="188">
        <f t="shared" ref="AS52" ca="1" si="341">IFERROR(SUM(AN52:AO52)-AP52,0)</f>
        <v>0</v>
      </c>
      <c r="AT52" s="70"/>
      <c r="AU52" s="126">
        <f t="shared" ref="AU52" ca="1" si="342">AN52+AO52</f>
        <v>0</v>
      </c>
      <c r="AV52" s="126"/>
      <c r="AW52" s="97">
        <f t="shared" ref="AW52" ca="1" si="343">IFERROR(AY52-AR52,0)</f>
        <v>0</v>
      </c>
      <c r="AX52" s="126">
        <f t="shared" ref="AX52" ca="1" si="344">SUM(E52:F52,L52:M52,S52:T52,Z52:AA52,AG52:AH52,AN52:AO52,AU52:AV52)</f>
        <v>0</v>
      </c>
      <c r="AY52" s="151">
        <f t="shared" ref="AY52" ca="1" si="345">IFERROR(IFERROR(VLOOKUP(TEXT($B52,0),INDIRECT("'Balance a "&amp;LEFT(AU$1,3)&amp;"'!$B$3:$G$300"),6,0),VLOOKUP(VALUE($B52),INDIRECT("'Balance a "&amp;LEFT(AU$1,3)&amp;"'!$B$3:$G$300"),6,0)),0)</f>
        <v>0</v>
      </c>
      <c r="AZ52" s="188">
        <f t="shared" ref="AZ52" ca="1" si="346">IFERROR(SUM(AU52:AV52)-AW52,0)</f>
        <v>0</v>
      </c>
      <c r="BA52" s="144"/>
      <c r="BB52" s="126">
        <f t="shared" ref="BB52" ca="1" si="347">AU52+AV52</f>
        <v>0</v>
      </c>
      <c r="BC52" s="126"/>
      <c r="BD52" s="97">
        <f t="shared" ref="BD52" ca="1" si="348">IFERROR(BF52-AY52,0)</f>
        <v>210500</v>
      </c>
      <c r="BE52" s="97">
        <f t="shared" ref="BE52" ca="1" si="349">SUM(E52:F52,L52:M52,S52:T52,Z52:AA52,AG52:AH52,AN52:AO52,AU52:AV52,BB52:BC52)</f>
        <v>0</v>
      </c>
      <c r="BF52" s="151">
        <f t="shared" ref="BF52" ca="1" si="350">IFERROR(IFERROR(VLOOKUP(TEXT($B52,0),INDIRECT("'Balance a "&amp;LEFT(BB$1,3)&amp;"'!$B$3:$G$300"),6,0),VLOOKUP(VALUE($B52),INDIRECT("'Balance a "&amp;LEFT(BB$1,3)&amp;"'!$B$3:$G$300"),6,0)),0)</f>
        <v>210500</v>
      </c>
      <c r="BG52" s="188">
        <f t="shared" ref="BG52" ca="1" si="351">IFERROR(SUM(BB52:BC52)-BD52,0)</f>
        <v>-210500</v>
      </c>
      <c r="BH52" s="144"/>
      <c r="BI52" s="126">
        <f t="shared" ref="BI52" ca="1" si="352">BB52+BC52</f>
        <v>0</v>
      </c>
      <c r="BJ52" s="126"/>
      <c r="BK52" s="97">
        <f t="shared" ca="1" si="267"/>
        <v>0</v>
      </c>
      <c r="BL52" s="97">
        <f t="shared" ref="BL52" ca="1" si="353">SUM(E52:F52,L52:M52,S52:T52,Z52:AA52,AG52:AH52,AN52:AO52,AU52:AV52,BB52:BC52,BI52:BJ52)</f>
        <v>0</v>
      </c>
      <c r="BM52" s="151">
        <f t="shared" ref="BM52" ca="1" si="354">IFERROR(IFERROR(VLOOKUP(TEXT($B52,0),INDIRECT("'Balance a "&amp;LEFT(BI$1,3)&amp;"'!$B$3:$G$300"),6,0),VLOOKUP(VALUE($B52),INDIRECT("'Balance a "&amp;LEFT(BI$1,3)&amp;"'!$B$3:$G$300"),6,0)),0)</f>
        <v>0</v>
      </c>
      <c r="BN52" s="188">
        <f t="shared" ref="BN52" ca="1" si="355">IFERROR(SUM(BI52:BJ52)-BK52,0)</f>
        <v>0</v>
      </c>
      <c r="BO52" s="144"/>
      <c r="BP52" s="126">
        <f t="shared" ref="BP52" ca="1" si="356">BI52+BJ52</f>
        <v>0</v>
      </c>
      <c r="BQ52" s="126"/>
      <c r="BR52" s="97">
        <f t="shared" ref="BR52" ca="1" si="357">IFERROR(BT52-BM52,0)</f>
        <v>0</v>
      </c>
      <c r="BS52" s="97">
        <f t="shared" ref="BS52" ca="1" si="358">SUM(E52:F52,L52:M52,S52:T52,Z52:AA52,AG52:AH52,AN52:AO52,AU52:AV52,BB52:BC52,BI52:BJ52,BP52:BQ52)</f>
        <v>0</v>
      </c>
      <c r="BT52" s="151">
        <f t="shared" ref="BT52" ca="1" si="359">IFERROR(IFERROR(VLOOKUP(TEXT($B52,0),INDIRECT("'Balance a "&amp;LEFT(BP$1,3)&amp;"'!$B$3:$G$300"),6,0),VLOOKUP(VALUE($B52),INDIRECT("'Balance a "&amp;LEFT(BP$1,3)&amp;"'!$B$3:$G$300"),6,0)),0)</f>
        <v>0</v>
      </c>
      <c r="BU52" s="188">
        <f t="shared" ref="BU52" ca="1" si="360">IFERROR(SUM(BP52:BQ52)-BR52,0)</f>
        <v>0</v>
      </c>
      <c r="BV52" s="144"/>
      <c r="BW52" s="126">
        <f t="shared" ref="BW52" ca="1" si="361">BP52+BQ52</f>
        <v>0</v>
      </c>
      <c r="BX52" s="126"/>
      <c r="BY52" s="97">
        <f t="shared" ref="BY52" ca="1" si="362">IFERROR(CA52-BT52,0)</f>
        <v>0</v>
      </c>
      <c r="BZ52" s="97">
        <f t="shared" ref="BZ52" ca="1" si="363">SUM(E52:F52,L52:M52,S52:T52,Z52:AA52,AG52:AH52,AN52:AO52,AU52:AV52,BB52:BC52,BI52:BJ52,BP52:BQ52,BW52:BX52)</f>
        <v>0</v>
      </c>
      <c r="CA52" s="151">
        <f t="shared" ref="CA52" ca="1" si="364">IFERROR(IFERROR(VLOOKUP(TEXT($B52,0),INDIRECT("'Balance a "&amp;LEFT(BW$1,3)&amp;"'!$B$3:$G$300"),6,0),VLOOKUP(VALUE($B52),INDIRECT("'Balance a "&amp;LEFT(BW$1,3)&amp;"'!$B$3:$G$300"),6,0)),0)</f>
        <v>0</v>
      </c>
      <c r="CB52" s="188">
        <f t="shared" ref="CB52" ca="1" si="365">IFERROR(SUM(BW52:BX52)-BY52,0)</f>
        <v>0</v>
      </c>
      <c r="CC52" s="144"/>
      <c r="CD52" s="126">
        <f t="shared" ref="CD52" ca="1" si="366">BW52+BX52</f>
        <v>0</v>
      </c>
      <c r="CE52" s="126"/>
      <c r="CF52" s="97">
        <f t="shared" ref="CF52" ca="1" si="367">IFERROR(CH52-CA52,0)</f>
        <v>0</v>
      </c>
      <c r="CG52" s="97">
        <f t="shared" ref="CG52" ca="1" si="368">SUM(E52:F52,L52:M52,S52:T52,Z52:AA52,AG52:AH52,AN52:AO52,AU52:AV52,BB52:BC52,BI52:BJ52,BP52:BQ52,BW52:BX52,CD52:CE52)</f>
        <v>0</v>
      </c>
      <c r="CH52" s="151">
        <f t="shared" ref="CH52" ca="1" si="369">IFERROR(IFERROR(VLOOKUP(TEXT($B52,0),INDIRECT("'Balance a "&amp;LEFT(CD$1,3)&amp;"'!$B$3:$G$300"),6,0),VLOOKUP(VALUE($B52),INDIRECT("'Balance a "&amp;LEFT(CD$1,3)&amp;"'!$B$3:$G$300"),6,0)),0)</f>
        <v>0</v>
      </c>
      <c r="CI52" s="188">
        <f t="shared" ref="CI52" ca="1" si="370">IFERROR(SUM(CD52:CE52)-CF52,0)</f>
        <v>0</v>
      </c>
      <c r="CJ52" s="5"/>
      <c r="CK52" s="5"/>
      <c r="CL52" s="5"/>
    </row>
    <row r="53" spans="1:90" s="6" customFormat="1">
      <c r="A53" s="133" t="s">
        <v>485</v>
      </c>
      <c r="B53" s="63">
        <v>51055112</v>
      </c>
      <c r="C53" s="134">
        <f t="shared" ca="1" si="275"/>
        <v>208080</v>
      </c>
      <c r="D53" s="78"/>
      <c r="E53" s="126">
        <f ca="1">$C53/COUNTA(E$1:$CI$1)</f>
        <v>17340</v>
      </c>
      <c r="F53" s="126"/>
      <c r="G53" s="104">
        <f t="shared" ref="G53" ca="1" si="371">IFERROR(I53,0)</f>
        <v>0</v>
      </c>
      <c r="H53" s="98">
        <f t="shared" ref="H53" ca="1" si="372">IFERROR(E53,0)</f>
        <v>17340</v>
      </c>
      <c r="I53" s="57">
        <f t="shared" ref="I53" ca="1" si="373">IFERROR(IFERROR(VLOOKUP(TEXT($B53,0),INDIRECT("'Balance a "&amp;LEFT(E$1,3)&amp;"'!$B$3:$G$300"),4,0),VLOOKUP(VALUE($B53),INDIRECT("'Balance a "&amp;LEFT(E$1,3)&amp;"'!$B$3:$G$300"),4,0)),0)</f>
        <v>0</v>
      </c>
      <c r="J53" s="188">
        <f t="shared" ref="J53" ca="1" si="374">IFERROR(G53-E53,0)</f>
        <v>-17340</v>
      </c>
      <c r="K53" s="70"/>
      <c r="L53" s="126">
        <f t="shared" ca="1" si="312"/>
        <v>17340</v>
      </c>
      <c r="M53" s="126"/>
      <c r="N53" s="97">
        <f t="shared" ca="1" si="278"/>
        <v>0</v>
      </c>
      <c r="O53" s="98">
        <f t="shared" ca="1" si="279"/>
        <v>34680</v>
      </c>
      <c r="P53" s="151">
        <f t="shared" ca="1" si="280"/>
        <v>0</v>
      </c>
      <c r="Q53" s="188">
        <f t="shared" ca="1" si="281"/>
        <v>17340</v>
      </c>
      <c r="R53" s="70"/>
      <c r="S53" s="126">
        <f t="shared" ca="1" si="254"/>
        <v>17340</v>
      </c>
      <c r="T53" s="126"/>
      <c r="U53" s="97">
        <f t="shared" ca="1" si="282"/>
        <v>104040</v>
      </c>
      <c r="V53" s="97">
        <f t="shared" ca="1" si="255"/>
        <v>52020</v>
      </c>
      <c r="W53" s="151">
        <f t="shared" ca="1" si="283"/>
        <v>104040</v>
      </c>
      <c r="X53" s="188">
        <f t="shared" ca="1" si="284"/>
        <v>-86700</v>
      </c>
      <c r="Y53" s="70"/>
      <c r="Z53" s="126">
        <f t="shared" ca="1" si="256"/>
        <v>17340</v>
      </c>
      <c r="AA53" s="126"/>
      <c r="AB53" s="97">
        <f t="shared" ca="1" si="285"/>
        <v>0</v>
      </c>
      <c r="AC53" s="97">
        <f t="shared" ca="1" si="257"/>
        <v>69360</v>
      </c>
      <c r="AD53" s="151">
        <f t="shared" ca="1" si="286"/>
        <v>104040</v>
      </c>
      <c r="AE53" s="188">
        <f t="shared" ca="1" si="287"/>
        <v>17340</v>
      </c>
      <c r="AF53" s="70"/>
      <c r="AG53" s="126">
        <f t="shared" ca="1" si="258"/>
        <v>17340</v>
      </c>
      <c r="AH53" s="126"/>
      <c r="AI53" s="97">
        <f t="shared" ca="1" si="288"/>
        <v>0</v>
      </c>
      <c r="AJ53" s="97">
        <f t="shared" ca="1" si="259"/>
        <v>86700</v>
      </c>
      <c r="AK53" s="151">
        <f t="shared" ca="1" si="289"/>
        <v>104040</v>
      </c>
      <c r="AL53" s="188">
        <f t="shared" ca="1" si="290"/>
        <v>17340</v>
      </c>
      <c r="AM53" s="70"/>
      <c r="AN53" s="126">
        <f t="shared" ca="1" si="260"/>
        <v>17340</v>
      </c>
      <c r="AO53" s="126"/>
      <c r="AP53" s="97">
        <f t="shared" ca="1" si="291"/>
        <v>0</v>
      </c>
      <c r="AQ53" s="97">
        <f t="shared" ca="1" si="261"/>
        <v>104040</v>
      </c>
      <c r="AR53" s="151">
        <f t="shared" ca="1" si="292"/>
        <v>104040</v>
      </c>
      <c r="AS53" s="188">
        <f t="shared" ca="1" si="293"/>
        <v>17340</v>
      </c>
      <c r="AT53" s="70"/>
      <c r="AU53" s="126">
        <f t="shared" ca="1" si="262"/>
        <v>17340</v>
      </c>
      <c r="AV53" s="126"/>
      <c r="AW53" s="97">
        <f t="shared" ca="1" si="294"/>
        <v>0</v>
      </c>
      <c r="AX53" s="126">
        <f t="shared" ca="1" si="263"/>
        <v>121380</v>
      </c>
      <c r="AY53" s="151">
        <f t="shared" ca="1" si="295"/>
        <v>104040</v>
      </c>
      <c r="AZ53" s="188">
        <f t="shared" ca="1" si="296"/>
        <v>17340</v>
      </c>
      <c r="BA53" s="144"/>
      <c r="BB53" s="126">
        <f t="shared" ca="1" si="264"/>
        <v>17340</v>
      </c>
      <c r="BC53" s="126"/>
      <c r="BD53" s="97">
        <f t="shared" ca="1" si="297"/>
        <v>0</v>
      </c>
      <c r="BE53" s="97">
        <f t="shared" ca="1" si="265"/>
        <v>138720</v>
      </c>
      <c r="BF53" s="151">
        <f t="shared" ca="1" si="298"/>
        <v>104040</v>
      </c>
      <c r="BG53" s="188">
        <f t="shared" ca="1" si="299"/>
        <v>17340</v>
      </c>
      <c r="BH53" s="144"/>
      <c r="BI53" s="126">
        <f t="shared" ca="1" si="266"/>
        <v>17340</v>
      </c>
      <c r="BJ53" s="126"/>
      <c r="BK53" s="97">
        <f t="shared" ca="1" si="267"/>
        <v>0</v>
      </c>
      <c r="BL53" s="97">
        <f t="shared" ca="1" si="268"/>
        <v>156060</v>
      </c>
      <c r="BM53" s="151">
        <f t="shared" ca="1" si="300"/>
        <v>0</v>
      </c>
      <c r="BN53" s="188">
        <f t="shared" ca="1" si="301"/>
        <v>17340</v>
      </c>
      <c r="BO53" s="144"/>
      <c r="BP53" s="126">
        <f t="shared" ca="1" si="269"/>
        <v>17340</v>
      </c>
      <c r="BQ53" s="126"/>
      <c r="BR53" s="97">
        <f t="shared" ca="1" si="302"/>
        <v>0</v>
      </c>
      <c r="BS53" s="97">
        <f t="shared" ca="1" si="270"/>
        <v>173400</v>
      </c>
      <c r="BT53" s="151">
        <f t="shared" ca="1" si="303"/>
        <v>0</v>
      </c>
      <c r="BU53" s="188">
        <f t="shared" ca="1" si="304"/>
        <v>17340</v>
      </c>
      <c r="BV53" s="144"/>
      <c r="BW53" s="126">
        <f t="shared" ca="1" si="271"/>
        <v>17340</v>
      </c>
      <c r="BX53" s="126"/>
      <c r="BY53" s="97">
        <f t="shared" ca="1" si="305"/>
        <v>0</v>
      </c>
      <c r="BZ53" s="97">
        <f t="shared" ca="1" si="272"/>
        <v>190740</v>
      </c>
      <c r="CA53" s="151">
        <f t="shared" ca="1" si="306"/>
        <v>0</v>
      </c>
      <c r="CB53" s="188">
        <f t="shared" ca="1" si="307"/>
        <v>17340</v>
      </c>
      <c r="CC53" s="144"/>
      <c r="CD53" s="126">
        <f t="shared" ca="1" si="308"/>
        <v>17340</v>
      </c>
      <c r="CE53" s="126"/>
      <c r="CF53" s="97">
        <f t="shared" ca="1" si="309"/>
        <v>0</v>
      </c>
      <c r="CG53" s="97">
        <f t="shared" ca="1" si="274"/>
        <v>208080</v>
      </c>
      <c r="CH53" s="151">
        <f t="shared" ca="1" si="310"/>
        <v>0</v>
      </c>
      <c r="CI53" s="188">
        <f t="shared" ca="1" si="311"/>
        <v>17340</v>
      </c>
      <c r="CJ53" s="5"/>
      <c r="CK53" s="5"/>
      <c r="CL53" s="5"/>
    </row>
    <row r="54" spans="1:90" s="6" customFormat="1">
      <c r="A54" s="133" t="s">
        <v>90</v>
      </c>
      <c r="B54" s="63">
        <v>51055401</v>
      </c>
      <c r="C54" s="134">
        <f t="shared" ca="1" si="275"/>
        <v>744435.54</v>
      </c>
      <c r="D54" s="78"/>
      <c r="E54" s="126">
        <v>51740</v>
      </c>
      <c r="F54" s="126"/>
      <c r="G54" s="104">
        <f t="shared" ca="1" si="251"/>
        <v>51740</v>
      </c>
      <c r="H54" s="98">
        <f t="shared" si="276"/>
        <v>51740</v>
      </c>
      <c r="I54" s="57">
        <f t="shared" ca="1" si="252"/>
        <v>51740</v>
      </c>
      <c r="J54" s="188">
        <f t="shared" ca="1" si="277"/>
        <v>0</v>
      </c>
      <c r="K54" s="70"/>
      <c r="L54" s="126">
        <f t="shared" si="312"/>
        <v>51740</v>
      </c>
      <c r="M54" s="126"/>
      <c r="N54" s="97">
        <f t="shared" ca="1" si="278"/>
        <v>51740</v>
      </c>
      <c r="O54" s="98">
        <f t="shared" si="279"/>
        <v>103480</v>
      </c>
      <c r="P54" s="151">
        <f t="shared" ca="1" si="280"/>
        <v>103480</v>
      </c>
      <c r="Q54" s="188">
        <f t="shared" ca="1" si="281"/>
        <v>0</v>
      </c>
      <c r="R54" s="70"/>
      <c r="S54" s="126">
        <f t="shared" si="254"/>
        <v>51740</v>
      </c>
      <c r="T54" s="126"/>
      <c r="U54" s="97">
        <f t="shared" ca="1" si="282"/>
        <v>51740</v>
      </c>
      <c r="V54" s="97">
        <f t="shared" si="255"/>
        <v>155220</v>
      </c>
      <c r="W54" s="151">
        <f t="shared" ca="1" si="283"/>
        <v>155220</v>
      </c>
      <c r="X54" s="188">
        <f t="shared" ca="1" si="284"/>
        <v>0</v>
      </c>
      <c r="Y54" s="70"/>
      <c r="Z54" s="126">
        <f t="shared" si="256"/>
        <v>51740</v>
      </c>
      <c r="AA54" s="126"/>
      <c r="AB54" s="97">
        <f t="shared" ca="1" si="285"/>
        <v>51740</v>
      </c>
      <c r="AC54" s="97">
        <f t="shared" si="257"/>
        <v>206960</v>
      </c>
      <c r="AD54" s="151">
        <f t="shared" ca="1" si="286"/>
        <v>206960</v>
      </c>
      <c r="AE54" s="188">
        <f t="shared" ca="1" si="287"/>
        <v>0</v>
      </c>
      <c r="AF54" s="70"/>
      <c r="AG54" s="126">
        <f t="shared" si="258"/>
        <v>51740</v>
      </c>
      <c r="AH54" s="126"/>
      <c r="AI54" s="97">
        <f t="shared" ca="1" si="288"/>
        <v>51740</v>
      </c>
      <c r="AJ54" s="97">
        <f t="shared" si="259"/>
        <v>258700</v>
      </c>
      <c r="AK54" s="151">
        <f t="shared" ca="1" si="289"/>
        <v>258700</v>
      </c>
      <c r="AL54" s="188">
        <f t="shared" ca="1" si="290"/>
        <v>0</v>
      </c>
      <c r="AM54" s="70"/>
      <c r="AN54" s="126">
        <f t="shared" si="260"/>
        <v>51740</v>
      </c>
      <c r="AO54" s="126"/>
      <c r="AP54" s="97">
        <f t="shared" ca="1" si="291"/>
        <v>113517.77000000002</v>
      </c>
      <c r="AQ54" s="97">
        <f t="shared" si="261"/>
        <v>310440</v>
      </c>
      <c r="AR54" s="151">
        <f t="shared" ca="1" si="292"/>
        <v>372217.77</v>
      </c>
      <c r="AS54" s="188">
        <f t="shared" ca="1" si="293"/>
        <v>-61777.770000000019</v>
      </c>
      <c r="AT54" s="70"/>
      <c r="AU54" s="126">
        <f t="shared" si="262"/>
        <v>51740</v>
      </c>
      <c r="AV54" s="126"/>
      <c r="AW54" s="97">
        <f t="shared" ca="1" si="294"/>
        <v>51740</v>
      </c>
      <c r="AX54" s="126">
        <f t="shared" si="263"/>
        <v>362180</v>
      </c>
      <c r="AY54" s="151">
        <f t="shared" ca="1" si="295"/>
        <v>423957.77</v>
      </c>
      <c r="AZ54" s="188">
        <f t="shared" ca="1" si="296"/>
        <v>0</v>
      </c>
      <c r="BA54" s="144"/>
      <c r="BB54" s="126">
        <f t="shared" si="264"/>
        <v>51740</v>
      </c>
      <c r="BC54" s="126"/>
      <c r="BD54" s="97">
        <f t="shared" ca="1" si="297"/>
        <v>113517.78000000003</v>
      </c>
      <c r="BE54" s="97">
        <f t="shared" si="265"/>
        <v>413920</v>
      </c>
      <c r="BF54" s="151">
        <f t="shared" ca="1" si="298"/>
        <v>537475.55000000005</v>
      </c>
      <c r="BG54" s="188">
        <f t="shared" ca="1" si="299"/>
        <v>-61777.780000000028</v>
      </c>
      <c r="BH54" s="144"/>
      <c r="BI54" s="126">
        <f t="shared" si="266"/>
        <v>51740</v>
      </c>
      <c r="BJ54" s="126"/>
      <c r="BK54" s="97">
        <f t="shared" ca="1" si="267"/>
        <v>0</v>
      </c>
      <c r="BL54" s="97">
        <f t="shared" si="268"/>
        <v>465660</v>
      </c>
      <c r="BM54" s="151">
        <f t="shared" ca="1" si="300"/>
        <v>0</v>
      </c>
      <c r="BN54" s="188">
        <f t="shared" ca="1" si="301"/>
        <v>51740</v>
      </c>
      <c r="BO54" s="144"/>
      <c r="BP54" s="126">
        <f t="shared" si="269"/>
        <v>51740</v>
      </c>
      <c r="BQ54" s="126"/>
      <c r="BR54" s="97">
        <f t="shared" ca="1" si="302"/>
        <v>0</v>
      </c>
      <c r="BS54" s="97">
        <f t="shared" si="270"/>
        <v>517400</v>
      </c>
      <c r="BT54" s="151">
        <f t="shared" ca="1" si="303"/>
        <v>0</v>
      </c>
      <c r="BU54" s="188">
        <f t="shared" ca="1" si="304"/>
        <v>51740</v>
      </c>
      <c r="BV54" s="144"/>
      <c r="BW54" s="126">
        <f t="shared" si="271"/>
        <v>51740</v>
      </c>
      <c r="BX54" s="126"/>
      <c r="BY54" s="97">
        <f t="shared" ca="1" si="305"/>
        <v>0</v>
      </c>
      <c r="BZ54" s="97">
        <f t="shared" si="272"/>
        <v>569140</v>
      </c>
      <c r="CA54" s="151">
        <f t="shared" ca="1" si="306"/>
        <v>0</v>
      </c>
      <c r="CB54" s="188">
        <f t="shared" ca="1" si="307"/>
        <v>51740</v>
      </c>
      <c r="CC54" s="144"/>
      <c r="CD54" s="126">
        <f t="shared" si="308"/>
        <v>51740</v>
      </c>
      <c r="CE54" s="126"/>
      <c r="CF54" s="97">
        <f t="shared" ca="1" si="309"/>
        <v>0</v>
      </c>
      <c r="CG54" s="97">
        <f t="shared" si="274"/>
        <v>620880</v>
      </c>
      <c r="CH54" s="151">
        <f t="shared" ca="1" si="310"/>
        <v>0</v>
      </c>
      <c r="CI54" s="188">
        <f t="shared" ca="1" si="311"/>
        <v>51740</v>
      </c>
      <c r="CJ54" s="5"/>
      <c r="CK54" s="5"/>
      <c r="CL54" s="5"/>
    </row>
    <row r="55" spans="1:90" s="6" customFormat="1">
      <c r="A55" s="207" t="s">
        <v>103</v>
      </c>
      <c r="B55" s="62">
        <v>51056301</v>
      </c>
      <c r="C55" s="134">
        <f t="shared" ca="1" si="275"/>
        <v>9398000</v>
      </c>
      <c r="D55" s="78"/>
      <c r="E55" s="126">
        <f ca="1">$C55/COUNTA(E$1:$CI$1)</f>
        <v>783166.66666666663</v>
      </c>
      <c r="F55" s="126"/>
      <c r="G55" s="104">
        <f t="shared" ca="1" si="251"/>
        <v>2949700</v>
      </c>
      <c r="H55" s="98">
        <f t="shared" ca="1" si="276"/>
        <v>783166.66666666663</v>
      </c>
      <c r="I55" s="57">
        <f t="shared" ca="1" si="252"/>
        <v>2949700</v>
      </c>
      <c r="J55" s="188">
        <f t="shared" ca="1" si="277"/>
        <v>2166533.3333333335</v>
      </c>
      <c r="K55" s="70"/>
      <c r="L55" s="126">
        <f t="shared" ca="1" si="312"/>
        <v>783166.66666666663</v>
      </c>
      <c r="M55" s="126"/>
      <c r="N55" s="97">
        <f t="shared" ca="1" si="278"/>
        <v>1749300</v>
      </c>
      <c r="O55" s="98">
        <f t="shared" ca="1" si="279"/>
        <v>1566333.3333333333</v>
      </c>
      <c r="P55" s="151">
        <f t="shared" ca="1" si="280"/>
        <v>4699000</v>
      </c>
      <c r="Q55" s="188">
        <f t="shared" ca="1" si="281"/>
        <v>-966133.33333333337</v>
      </c>
      <c r="R55" s="70"/>
      <c r="S55" s="126">
        <f t="shared" ca="1" si="254"/>
        <v>783166.66666666663</v>
      </c>
      <c r="T55" s="126"/>
      <c r="U55" s="97">
        <f t="shared" ca="1" si="282"/>
        <v>0</v>
      </c>
      <c r="V55" s="97">
        <f t="shared" ca="1" si="255"/>
        <v>2349500</v>
      </c>
      <c r="W55" s="151">
        <f t="shared" ca="1" si="283"/>
        <v>4699000</v>
      </c>
      <c r="X55" s="188">
        <f t="shared" ca="1" si="284"/>
        <v>783166.66666666663</v>
      </c>
      <c r="Y55" s="70"/>
      <c r="Z55" s="126">
        <f t="shared" ca="1" si="256"/>
        <v>783166.66666666663</v>
      </c>
      <c r="AA55" s="126"/>
      <c r="AB55" s="97">
        <f t="shared" ca="1" si="285"/>
        <v>0</v>
      </c>
      <c r="AC55" s="97">
        <f t="shared" ca="1" si="257"/>
        <v>3132666.6666666665</v>
      </c>
      <c r="AD55" s="151">
        <f t="shared" ca="1" si="286"/>
        <v>4699000</v>
      </c>
      <c r="AE55" s="188">
        <f t="shared" ca="1" si="287"/>
        <v>783166.66666666663</v>
      </c>
      <c r="AF55" s="70"/>
      <c r="AG55" s="126">
        <f t="shared" ca="1" si="258"/>
        <v>783166.66666666663</v>
      </c>
      <c r="AH55" s="126"/>
      <c r="AI55" s="97">
        <f t="shared" ca="1" si="288"/>
        <v>0</v>
      </c>
      <c r="AJ55" s="97">
        <f t="shared" ca="1" si="259"/>
        <v>3915833.333333333</v>
      </c>
      <c r="AK55" s="151">
        <f t="shared" ca="1" si="289"/>
        <v>4699000</v>
      </c>
      <c r="AL55" s="188">
        <f t="shared" ca="1" si="290"/>
        <v>783166.66666666663</v>
      </c>
      <c r="AM55" s="70"/>
      <c r="AN55" s="126">
        <f t="shared" ca="1" si="260"/>
        <v>783166.66666666663</v>
      </c>
      <c r="AO55" s="126"/>
      <c r="AP55" s="97">
        <f t="shared" ca="1" si="291"/>
        <v>0</v>
      </c>
      <c r="AQ55" s="97">
        <f t="shared" ca="1" si="261"/>
        <v>4699000</v>
      </c>
      <c r="AR55" s="151">
        <f t="shared" ca="1" si="292"/>
        <v>4699000</v>
      </c>
      <c r="AS55" s="188">
        <f t="shared" ca="1" si="293"/>
        <v>783166.66666666663</v>
      </c>
      <c r="AT55" s="70"/>
      <c r="AU55" s="126">
        <f t="shared" ca="1" si="262"/>
        <v>783166.66666666663</v>
      </c>
      <c r="AV55" s="126"/>
      <c r="AW55" s="97">
        <f t="shared" ca="1" si="294"/>
        <v>2594639</v>
      </c>
      <c r="AX55" s="126">
        <f t="shared" ca="1" si="263"/>
        <v>5482166.666666667</v>
      </c>
      <c r="AY55" s="151">
        <f t="shared" ca="1" si="295"/>
        <v>7293639</v>
      </c>
      <c r="AZ55" s="188">
        <f t="shared" ca="1" si="296"/>
        <v>-1811472.3333333335</v>
      </c>
      <c r="BA55" s="144"/>
      <c r="BB55" s="126">
        <f t="shared" ca="1" si="264"/>
        <v>783166.66666666663</v>
      </c>
      <c r="BC55" s="126"/>
      <c r="BD55" s="97">
        <f t="shared" ca="1" si="297"/>
        <v>0</v>
      </c>
      <c r="BE55" s="97">
        <f t="shared" ca="1" si="265"/>
        <v>6265333.333333334</v>
      </c>
      <c r="BF55" s="151">
        <f t="shared" ca="1" si="298"/>
        <v>7293639</v>
      </c>
      <c r="BG55" s="188">
        <f t="shared" ca="1" si="299"/>
        <v>783166.66666666663</v>
      </c>
      <c r="BH55" s="144"/>
      <c r="BI55" s="126">
        <f t="shared" ca="1" si="266"/>
        <v>783166.66666666663</v>
      </c>
      <c r="BJ55" s="126"/>
      <c r="BK55" s="97">
        <f t="shared" ca="1" si="267"/>
        <v>0</v>
      </c>
      <c r="BL55" s="97">
        <f t="shared" ca="1" si="268"/>
        <v>7048500.0000000009</v>
      </c>
      <c r="BM55" s="151">
        <f t="shared" ca="1" si="300"/>
        <v>0</v>
      </c>
      <c r="BN55" s="188">
        <f t="shared" ca="1" si="301"/>
        <v>783166.66666666663</v>
      </c>
      <c r="BO55" s="144"/>
      <c r="BP55" s="126">
        <f t="shared" ca="1" si="269"/>
        <v>783166.66666666663</v>
      </c>
      <c r="BQ55" s="126"/>
      <c r="BR55" s="97">
        <f t="shared" ca="1" si="302"/>
        <v>0</v>
      </c>
      <c r="BS55" s="97">
        <f t="shared" ca="1" si="270"/>
        <v>7831666.6666666679</v>
      </c>
      <c r="BT55" s="151">
        <f t="shared" ca="1" si="303"/>
        <v>0</v>
      </c>
      <c r="BU55" s="188">
        <f t="shared" ca="1" si="304"/>
        <v>783166.66666666663</v>
      </c>
      <c r="BV55" s="144"/>
      <c r="BW55" s="126">
        <f t="shared" ca="1" si="271"/>
        <v>783166.66666666663</v>
      </c>
      <c r="BX55" s="126"/>
      <c r="BY55" s="97">
        <f t="shared" ca="1" si="305"/>
        <v>0</v>
      </c>
      <c r="BZ55" s="97">
        <f t="shared" ca="1" si="272"/>
        <v>8614833.333333334</v>
      </c>
      <c r="CA55" s="151">
        <f t="shared" ca="1" si="306"/>
        <v>0</v>
      </c>
      <c r="CB55" s="188">
        <f t="shared" ca="1" si="307"/>
        <v>783166.66666666663</v>
      </c>
      <c r="CC55" s="144"/>
      <c r="CD55" s="126">
        <f t="shared" ca="1" si="308"/>
        <v>783166.66666666663</v>
      </c>
      <c r="CE55" s="126"/>
      <c r="CF55" s="97">
        <f t="shared" ca="1" si="309"/>
        <v>0</v>
      </c>
      <c r="CG55" s="97">
        <f t="shared" ca="1" si="274"/>
        <v>9398000</v>
      </c>
      <c r="CH55" s="151">
        <f t="shared" ca="1" si="310"/>
        <v>0</v>
      </c>
      <c r="CI55" s="188">
        <f t="shared" ca="1" si="311"/>
        <v>783166.66666666663</v>
      </c>
      <c r="CJ55" s="5"/>
      <c r="CK55" s="5"/>
      <c r="CL55" s="5"/>
    </row>
    <row r="56" spans="1:90" s="6" customFormat="1">
      <c r="A56" s="207" t="s">
        <v>125</v>
      </c>
      <c r="B56" s="62">
        <v>51056302</v>
      </c>
      <c r="C56" s="134">
        <f t="shared" ca="1" si="275"/>
        <v>1018824.260000002</v>
      </c>
      <c r="D56" s="78"/>
      <c r="E56" s="126">
        <f ca="1">$C56/COUNTA(E$1:$CI$1)</f>
        <v>84902.021666666828</v>
      </c>
      <c r="F56" s="126"/>
      <c r="G56" s="104">
        <f t="shared" ca="1" si="251"/>
        <v>0</v>
      </c>
      <c r="H56" s="98">
        <f t="shared" ca="1" si="276"/>
        <v>84902.021666666828</v>
      </c>
      <c r="I56" s="57">
        <f t="shared" ca="1" si="252"/>
        <v>0</v>
      </c>
      <c r="J56" s="188">
        <f t="shared" ca="1" si="277"/>
        <v>-84902.021666666828</v>
      </c>
      <c r="K56" s="70"/>
      <c r="L56" s="126">
        <f t="shared" ca="1" si="312"/>
        <v>84902.021666666828</v>
      </c>
      <c r="M56" s="126"/>
      <c r="N56" s="97">
        <f t="shared" ca="1" si="278"/>
        <v>6890.75</v>
      </c>
      <c r="O56" s="98">
        <f t="shared" ca="1" si="279"/>
        <v>169804.04333333366</v>
      </c>
      <c r="P56" s="151">
        <f t="shared" ca="1" si="280"/>
        <v>6890.75</v>
      </c>
      <c r="Q56" s="188">
        <f t="shared" ca="1" si="281"/>
        <v>78011.271666666828</v>
      </c>
      <c r="R56" s="70"/>
      <c r="S56" s="126">
        <f t="shared" ca="1" si="254"/>
        <v>84902.021666666828</v>
      </c>
      <c r="T56" s="126"/>
      <c r="U56" s="97">
        <f t="shared" ca="1" si="282"/>
        <v>4873.9499999993004</v>
      </c>
      <c r="V56" s="97">
        <f t="shared" ca="1" si="255"/>
        <v>254706.06500000047</v>
      </c>
      <c r="W56" s="151">
        <f t="shared" ca="1" si="283"/>
        <v>11764.6999999993</v>
      </c>
      <c r="X56" s="188">
        <f t="shared" ca="1" si="284"/>
        <v>80028.071666667529</v>
      </c>
      <c r="Y56" s="70"/>
      <c r="Z56" s="126">
        <f t="shared" ca="1" si="256"/>
        <v>84902.021666666828</v>
      </c>
      <c r="AA56" s="126"/>
      <c r="AB56" s="97">
        <f t="shared" ca="1" si="285"/>
        <v>488403.43000000168</v>
      </c>
      <c r="AC56" s="97">
        <f t="shared" ca="1" si="257"/>
        <v>339608.08666666731</v>
      </c>
      <c r="AD56" s="151">
        <f t="shared" ca="1" si="286"/>
        <v>500168.13000000099</v>
      </c>
      <c r="AE56" s="188">
        <f t="shared" ca="1" si="287"/>
        <v>-403501.40833333484</v>
      </c>
      <c r="AF56" s="70"/>
      <c r="AG56" s="126">
        <f t="shared" ca="1" si="258"/>
        <v>84902.021666666828</v>
      </c>
      <c r="AH56" s="126"/>
      <c r="AI56" s="97">
        <f t="shared" ca="1" si="288"/>
        <v>0</v>
      </c>
      <c r="AJ56" s="97">
        <f t="shared" ca="1" si="259"/>
        <v>424510.10833333415</v>
      </c>
      <c r="AK56" s="151">
        <f t="shared" ca="1" si="289"/>
        <v>500168.13000000099</v>
      </c>
      <c r="AL56" s="188">
        <f t="shared" ca="1" si="290"/>
        <v>84902.021666666828</v>
      </c>
      <c r="AM56" s="70"/>
      <c r="AN56" s="126">
        <f t="shared" ca="1" si="260"/>
        <v>84902.021666666828</v>
      </c>
      <c r="AO56" s="126"/>
      <c r="AP56" s="97">
        <f t="shared" ca="1" si="291"/>
        <v>9244</v>
      </c>
      <c r="AQ56" s="97">
        <f t="shared" ca="1" si="261"/>
        <v>509412.13000000099</v>
      </c>
      <c r="AR56" s="151">
        <f t="shared" ca="1" si="292"/>
        <v>509412.13000000099</v>
      </c>
      <c r="AS56" s="188">
        <f t="shared" ca="1" si="293"/>
        <v>75658.021666666828</v>
      </c>
      <c r="AT56" s="70"/>
      <c r="AU56" s="126">
        <f t="shared" ca="1" si="262"/>
        <v>84902.021666666828</v>
      </c>
      <c r="AV56" s="126"/>
      <c r="AW56" s="97">
        <f t="shared" ca="1" si="294"/>
        <v>0</v>
      </c>
      <c r="AX56" s="126">
        <f t="shared" ca="1" si="263"/>
        <v>594314.15166666778</v>
      </c>
      <c r="AY56" s="151">
        <f t="shared" ca="1" si="295"/>
        <v>509412.13000000099</v>
      </c>
      <c r="AZ56" s="188">
        <f t="shared" ca="1" si="296"/>
        <v>84902.021666666828</v>
      </c>
      <c r="BA56" s="144"/>
      <c r="BB56" s="126">
        <f t="shared" ca="1" si="264"/>
        <v>84902.021666666828</v>
      </c>
      <c r="BC56" s="126"/>
      <c r="BD56" s="97">
        <f t="shared" ca="1" si="297"/>
        <v>0</v>
      </c>
      <c r="BE56" s="97">
        <f t="shared" ca="1" si="265"/>
        <v>679216.17333333462</v>
      </c>
      <c r="BF56" s="151">
        <f t="shared" ca="1" si="298"/>
        <v>509412.13000000099</v>
      </c>
      <c r="BG56" s="188">
        <f t="shared" ca="1" si="299"/>
        <v>84902.021666666828</v>
      </c>
      <c r="BH56" s="144"/>
      <c r="BI56" s="126">
        <f t="shared" ca="1" si="266"/>
        <v>84902.021666666828</v>
      </c>
      <c r="BJ56" s="126"/>
      <c r="BK56" s="97">
        <f t="shared" ca="1" si="267"/>
        <v>0</v>
      </c>
      <c r="BL56" s="97">
        <f t="shared" ca="1" si="268"/>
        <v>764118.19500000146</v>
      </c>
      <c r="BM56" s="151">
        <f t="shared" ca="1" si="300"/>
        <v>0</v>
      </c>
      <c r="BN56" s="188">
        <f t="shared" ca="1" si="301"/>
        <v>84902.021666666828</v>
      </c>
      <c r="BO56" s="144"/>
      <c r="BP56" s="126">
        <f t="shared" ca="1" si="269"/>
        <v>84902.021666666828</v>
      </c>
      <c r="BQ56" s="126"/>
      <c r="BR56" s="97">
        <f t="shared" ca="1" si="302"/>
        <v>0</v>
      </c>
      <c r="BS56" s="97">
        <f t="shared" ca="1" si="270"/>
        <v>849020.2166666683</v>
      </c>
      <c r="BT56" s="151">
        <f t="shared" ca="1" si="303"/>
        <v>0</v>
      </c>
      <c r="BU56" s="188">
        <f t="shared" ca="1" si="304"/>
        <v>84902.021666666828</v>
      </c>
      <c r="BV56" s="144"/>
      <c r="BW56" s="126">
        <f t="shared" ca="1" si="271"/>
        <v>84902.021666666828</v>
      </c>
      <c r="BX56" s="126"/>
      <c r="BY56" s="97">
        <f t="shared" ca="1" si="305"/>
        <v>0</v>
      </c>
      <c r="BZ56" s="97">
        <f t="shared" ca="1" si="272"/>
        <v>933922.23833333515</v>
      </c>
      <c r="CA56" s="151">
        <f t="shared" ca="1" si="306"/>
        <v>0</v>
      </c>
      <c r="CB56" s="188">
        <f t="shared" ca="1" si="307"/>
        <v>84902.021666666828</v>
      </c>
      <c r="CC56" s="144"/>
      <c r="CD56" s="126">
        <f t="shared" ca="1" si="308"/>
        <v>84902.021666666828</v>
      </c>
      <c r="CE56" s="126"/>
      <c r="CF56" s="97">
        <f t="shared" ca="1" si="309"/>
        <v>0</v>
      </c>
      <c r="CG56" s="97">
        <f t="shared" ca="1" si="274"/>
        <v>1018824.260000002</v>
      </c>
      <c r="CH56" s="151">
        <f t="shared" ca="1" si="310"/>
        <v>0</v>
      </c>
      <c r="CI56" s="188">
        <f t="shared" ca="1" si="311"/>
        <v>84902.021666666828</v>
      </c>
      <c r="CJ56" s="5"/>
      <c r="CK56" s="5"/>
      <c r="CL56" s="5"/>
    </row>
    <row r="57" spans="1:90" s="6" customFormat="1">
      <c r="A57" s="207" t="s">
        <v>126</v>
      </c>
      <c r="B57" s="62">
        <v>51056601</v>
      </c>
      <c r="C57" s="134">
        <f t="shared" ca="1" si="275"/>
        <v>1000000</v>
      </c>
      <c r="D57" s="78"/>
      <c r="E57" s="126">
        <f ca="1">$C57/COUNTA(E$1:$CI$1)</f>
        <v>83333.333333333328</v>
      </c>
      <c r="F57" s="126"/>
      <c r="G57" s="104">
        <f t="shared" ca="1" si="251"/>
        <v>500000</v>
      </c>
      <c r="H57" s="98">
        <f t="shared" ca="1" si="276"/>
        <v>83333.333333333328</v>
      </c>
      <c r="I57" s="57">
        <f t="shared" ca="1" si="252"/>
        <v>500000</v>
      </c>
      <c r="J57" s="188">
        <f t="shared" ca="1" si="277"/>
        <v>416666.66666666669</v>
      </c>
      <c r="K57" s="70"/>
      <c r="L57" s="126">
        <f t="shared" ca="1" si="312"/>
        <v>83333.333333333328</v>
      </c>
      <c r="M57" s="126"/>
      <c r="N57" s="97">
        <f t="shared" ca="1" si="278"/>
        <v>0</v>
      </c>
      <c r="O57" s="98">
        <f t="shared" ca="1" si="279"/>
        <v>166666.66666666666</v>
      </c>
      <c r="P57" s="151">
        <f t="shared" ca="1" si="280"/>
        <v>500000</v>
      </c>
      <c r="Q57" s="188">
        <f t="shared" ca="1" si="281"/>
        <v>83333.333333333328</v>
      </c>
      <c r="R57" s="70"/>
      <c r="S57" s="126">
        <f t="shared" ca="1" si="254"/>
        <v>83333.333333333328</v>
      </c>
      <c r="T57" s="126"/>
      <c r="U57" s="97">
        <f t="shared" ca="1" si="282"/>
        <v>0</v>
      </c>
      <c r="V57" s="97">
        <f t="shared" ca="1" si="255"/>
        <v>250000</v>
      </c>
      <c r="W57" s="151">
        <f t="shared" ca="1" si="283"/>
        <v>500000</v>
      </c>
      <c r="X57" s="188">
        <f t="shared" ca="1" si="284"/>
        <v>83333.333333333328</v>
      </c>
      <c r="Y57" s="70"/>
      <c r="Z57" s="126">
        <f t="shared" ca="1" si="256"/>
        <v>83333.333333333328</v>
      </c>
      <c r="AA57" s="126"/>
      <c r="AB57" s="97">
        <f t="shared" ca="1" si="285"/>
        <v>0</v>
      </c>
      <c r="AC57" s="97">
        <f t="shared" ca="1" si="257"/>
        <v>333333.33333333331</v>
      </c>
      <c r="AD57" s="151">
        <f t="shared" ca="1" si="286"/>
        <v>500000</v>
      </c>
      <c r="AE57" s="188">
        <f t="shared" ca="1" si="287"/>
        <v>83333.333333333328</v>
      </c>
      <c r="AF57" s="70"/>
      <c r="AG57" s="126">
        <f t="shared" ca="1" si="258"/>
        <v>83333.333333333328</v>
      </c>
      <c r="AH57" s="126"/>
      <c r="AI57" s="97">
        <f t="shared" ca="1" si="288"/>
        <v>0</v>
      </c>
      <c r="AJ57" s="97">
        <f t="shared" ca="1" si="259"/>
        <v>416666.66666666663</v>
      </c>
      <c r="AK57" s="151">
        <f t="shared" ca="1" si="289"/>
        <v>500000</v>
      </c>
      <c r="AL57" s="188">
        <f t="shared" ca="1" si="290"/>
        <v>83333.333333333328</v>
      </c>
      <c r="AM57" s="70"/>
      <c r="AN57" s="126">
        <f t="shared" ca="1" si="260"/>
        <v>83333.333333333328</v>
      </c>
      <c r="AO57" s="126"/>
      <c r="AP57" s="97">
        <f t="shared" ca="1" si="291"/>
        <v>0</v>
      </c>
      <c r="AQ57" s="97">
        <f t="shared" ca="1" si="261"/>
        <v>499999.99999999994</v>
      </c>
      <c r="AR57" s="151">
        <f t="shared" ca="1" si="292"/>
        <v>500000</v>
      </c>
      <c r="AS57" s="188">
        <f t="shared" ca="1" si="293"/>
        <v>83333.333333333328</v>
      </c>
      <c r="AT57" s="70"/>
      <c r="AU57" s="126">
        <f t="shared" ca="1" si="262"/>
        <v>83333.333333333328</v>
      </c>
      <c r="AV57" s="126"/>
      <c r="AW57" s="97">
        <f t="shared" ca="1" si="294"/>
        <v>0</v>
      </c>
      <c r="AX57" s="126">
        <f t="shared" ca="1" si="263"/>
        <v>583333.33333333326</v>
      </c>
      <c r="AY57" s="151">
        <f t="shared" ca="1" si="295"/>
        <v>500000</v>
      </c>
      <c r="AZ57" s="188">
        <f t="shared" ca="1" si="296"/>
        <v>83333.333333333328</v>
      </c>
      <c r="BA57" s="144"/>
      <c r="BB57" s="126">
        <f t="shared" ca="1" si="264"/>
        <v>83333.333333333328</v>
      </c>
      <c r="BC57" s="126"/>
      <c r="BD57" s="97">
        <f t="shared" ca="1" si="297"/>
        <v>0</v>
      </c>
      <c r="BE57" s="97">
        <f t="shared" ca="1" si="265"/>
        <v>666666.66666666663</v>
      </c>
      <c r="BF57" s="151">
        <f t="shared" ca="1" si="298"/>
        <v>500000</v>
      </c>
      <c r="BG57" s="188">
        <f t="shared" ca="1" si="299"/>
        <v>83333.333333333328</v>
      </c>
      <c r="BH57" s="144"/>
      <c r="BI57" s="126">
        <f t="shared" ca="1" si="266"/>
        <v>83333.333333333328</v>
      </c>
      <c r="BJ57" s="126"/>
      <c r="BK57" s="97">
        <f t="shared" ca="1" si="267"/>
        <v>0</v>
      </c>
      <c r="BL57" s="97">
        <f t="shared" ca="1" si="268"/>
        <v>750000</v>
      </c>
      <c r="BM57" s="151">
        <f t="shared" ca="1" si="300"/>
        <v>0</v>
      </c>
      <c r="BN57" s="188">
        <f t="shared" ca="1" si="301"/>
        <v>83333.333333333328</v>
      </c>
      <c r="BO57" s="144"/>
      <c r="BP57" s="126">
        <f t="shared" ca="1" si="269"/>
        <v>83333.333333333328</v>
      </c>
      <c r="BQ57" s="126"/>
      <c r="BR57" s="97">
        <f t="shared" ca="1" si="302"/>
        <v>0</v>
      </c>
      <c r="BS57" s="97">
        <f t="shared" ca="1" si="270"/>
        <v>833333.33333333337</v>
      </c>
      <c r="BT57" s="151">
        <f t="shared" ca="1" si="303"/>
        <v>0</v>
      </c>
      <c r="BU57" s="188">
        <f t="shared" ca="1" si="304"/>
        <v>83333.333333333328</v>
      </c>
      <c r="BV57" s="144"/>
      <c r="BW57" s="126">
        <f t="shared" ca="1" si="271"/>
        <v>83333.333333333328</v>
      </c>
      <c r="BX57" s="126"/>
      <c r="BY57" s="97">
        <f t="shared" ca="1" si="305"/>
        <v>0</v>
      </c>
      <c r="BZ57" s="97">
        <f t="shared" ca="1" si="272"/>
        <v>916666.66666666674</v>
      </c>
      <c r="CA57" s="151">
        <f t="shared" ca="1" si="306"/>
        <v>0</v>
      </c>
      <c r="CB57" s="188">
        <f t="shared" ca="1" si="307"/>
        <v>83333.333333333328</v>
      </c>
      <c r="CC57" s="144"/>
      <c r="CD57" s="126">
        <f t="shared" ca="1" si="308"/>
        <v>83333.333333333328</v>
      </c>
      <c r="CE57" s="126"/>
      <c r="CF57" s="97">
        <f t="shared" ca="1" si="309"/>
        <v>0</v>
      </c>
      <c r="CG57" s="97">
        <f t="shared" ca="1" si="274"/>
        <v>1000000.0000000001</v>
      </c>
      <c r="CH57" s="151">
        <f t="shared" ca="1" si="310"/>
        <v>0</v>
      </c>
      <c r="CI57" s="188">
        <f t="shared" ca="1" si="311"/>
        <v>83333.333333333328</v>
      </c>
      <c r="CJ57" s="5"/>
      <c r="CK57" s="5"/>
      <c r="CL57" s="5"/>
    </row>
    <row r="58" spans="1:90" s="6" customFormat="1">
      <c r="A58" s="207" t="s">
        <v>127</v>
      </c>
      <c r="B58" s="62">
        <v>51056801</v>
      </c>
      <c r="C58" s="134">
        <f t="shared" ca="1" si="275"/>
        <v>392544</v>
      </c>
      <c r="D58" s="78"/>
      <c r="E58" s="126">
        <f ca="1">$C58/COUNTA(E$1:$CI$1)</f>
        <v>32712</v>
      </c>
      <c r="F58" s="126"/>
      <c r="G58" s="104">
        <f t="shared" ca="1" si="251"/>
        <v>24012</v>
      </c>
      <c r="H58" s="98">
        <f t="shared" ca="1" si="276"/>
        <v>32712</v>
      </c>
      <c r="I58" s="57">
        <f t="shared" ca="1" si="252"/>
        <v>24012</v>
      </c>
      <c r="J58" s="188">
        <f t="shared" ca="1" si="277"/>
        <v>-8700</v>
      </c>
      <c r="K58" s="70"/>
      <c r="L58" s="126">
        <f t="shared" ca="1" si="312"/>
        <v>32712</v>
      </c>
      <c r="M58" s="126"/>
      <c r="N58" s="97">
        <f t="shared" ca="1" si="278"/>
        <v>34452</v>
      </c>
      <c r="O58" s="98">
        <f t="shared" ca="1" si="279"/>
        <v>65424</v>
      </c>
      <c r="P58" s="151">
        <f t="shared" ca="1" si="280"/>
        <v>58464</v>
      </c>
      <c r="Q58" s="188">
        <f t="shared" ca="1" si="281"/>
        <v>-1740</v>
      </c>
      <c r="R58" s="70"/>
      <c r="S58" s="126">
        <f t="shared" ca="1" si="254"/>
        <v>32712</v>
      </c>
      <c r="T58" s="126"/>
      <c r="U58" s="97">
        <f t="shared" ca="1" si="282"/>
        <v>34452</v>
      </c>
      <c r="V58" s="97">
        <f t="shared" ca="1" si="255"/>
        <v>98136</v>
      </c>
      <c r="W58" s="151">
        <f t="shared" ca="1" si="283"/>
        <v>92916</v>
      </c>
      <c r="X58" s="188">
        <f t="shared" ca="1" si="284"/>
        <v>-1740</v>
      </c>
      <c r="Y58" s="70"/>
      <c r="Z58" s="126">
        <f t="shared" ca="1" si="256"/>
        <v>32712</v>
      </c>
      <c r="AA58" s="126"/>
      <c r="AB58" s="97">
        <f t="shared" ca="1" si="285"/>
        <v>34452</v>
      </c>
      <c r="AC58" s="97">
        <f t="shared" ca="1" si="257"/>
        <v>130848</v>
      </c>
      <c r="AD58" s="151">
        <f t="shared" ca="1" si="286"/>
        <v>127368</v>
      </c>
      <c r="AE58" s="188">
        <f t="shared" ca="1" si="287"/>
        <v>-1740</v>
      </c>
      <c r="AF58" s="70"/>
      <c r="AG58" s="126">
        <f t="shared" ca="1" si="258"/>
        <v>32712</v>
      </c>
      <c r="AH58" s="126"/>
      <c r="AI58" s="97">
        <f t="shared" ca="1" si="288"/>
        <v>34452</v>
      </c>
      <c r="AJ58" s="97">
        <f t="shared" ca="1" si="259"/>
        <v>163560</v>
      </c>
      <c r="AK58" s="151">
        <f t="shared" ca="1" si="289"/>
        <v>161820</v>
      </c>
      <c r="AL58" s="188">
        <f t="shared" ca="1" si="290"/>
        <v>-1740</v>
      </c>
      <c r="AM58" s="70"/>
      <c r="AN58" s="126">
        <f t="shared" ca="1" si="260"/>
        <v>32712</v>
      </c>
      <c r="AO58" s="126"/>
      <c r="AP58" s="97">
        <f t="shared" ca="1" si="291"/>
        <v>34452</v>
      </c>
      <c r="AQ58" s="97">
        <f t="shared" ca="1" si="261"/>
        <v>196272</v>
      </c>
      <c r="AR58" s="151">
        <f t="shared" ca="1" si="292"/>
        <v>196272</v>
      </c>
      <c r="AS58" s="188">
        <f t="shared" ca="1" si="293"/>
        <v>-1740</v>
      </c>
      <c r="AT58" s="70"/>
      <c r="AU58" s="126">
        <f t="shared" ca="1" si="262"/>
        <v>32712</v>
      </c>
      <c r="AV58" s="126"/>
      <c r="AW58" s="97">
        <f t="shared" ca="1" si="294"/>
        <v>34452</v>
      </c>
      <c r="AX58" s="126">
        <f t="shared" ca="1" si="263"/>
        <v>228984</v>
      </c>
      <c r="AY58" s="151">
        <f t="shared" ca="1" si="295"/>
        <v>230724</v>
      </c>
      <c r="AZ58" s="188">
        <f t="shared" ca="1" si="296"/>
        <v>-1740</v>
      </c>
      <c r="BA58" s="144"/>
      <c r="BB58" s="126">
        <f t="shared" ca="1" si="264"/>
        <v>32712</v>
      </c>
      <c r="BC58" s="126"/>
      <c r="BD58" s="97">
        <f t="shared" ca="1" si="297"/>
        <v>34452</v>
      </c>
      <c r="BE58" s="97">
        <f t="shared" ca="1" si="265"/>
        <v>261696</v>
      </c>
      <c r="BF58" s="151">
        <f t="shared" ca="1" si="298"/>
        <v>265176</v>
      </c>
      <c r="BG58" s="188">
        <f t="shared" ca="1" si="299"/>
        <v>-1740</v>
      </c>
      <c r="BH58" s="144"/>
      <c r="BI58" s="126">
        <f t="shared" ca="1" si="266"/>
        <v>32712</v>
      </c>
      <c r="BJ58" s="126"/>
      <c r="BK58" s="97">
        <f t="shared" ca="1" si="267"/>
        <v>0</v>
      </c>
      <c r="BL58" s="97">
        <f t="shared" ca="1" si="268"/>
        <v>294408</v>
      </c>
      <c r="BM58" s="151">
        <f t="shared" ca="1" si="300"/>
        <v>0</v>
      </c>
      <c r="BN58" s="188">
        <f t="shared" ca="1" si="301"/>
        <v>32712</v>
      </c>
      <c r="BO58" s="144"/>
      <c r="BP58" s="126">
        <f t="shared" ca="1" si="269"/>
        <v>32712</v>
      </c>
      <c r="BQ58" s="126"/>
      <c r="BR58" s="97">
        <f t="shared" ca="1" si="302"/>
        <v>0</v>
      </c>
      <c r="BS58" s="97">
        <f t="shared" ca="1" si="270"/>
        <v>327120</v>
      </c>
      <c r="BT58" s="151">
        <f t="shared" ca="1" si="303"/>
        <v>0</v>
      </c>
      <c r="BU58" s="188">
        <f t="shared" ca="1" si="304"/>
        <v>32712</v>
      </c>
      <c r="BV58" s="144"/>
      <c r="BW58" s="126">
        <f t="shared" ca="1" si="271"/>
        <v>32712</v>
      </c>
      <c r="BX58" s="126"/>
      <c r="BY58" s="97">
        <f t="shared" ca="1" si="305"/>
        <v>0</v>
      </c>
      <c r="BZ58" s="97">
        <f t="shared" ca="1" si="272"/>
        <v>359832</v>
      </c>
      <c r="CA58" s="151">
        <f t="shared" ca="1" si="306"/>
        <v>0</v>
      </c>
      <c r="CB58" s="188">
        <f t="shared" ca="1" si="307"/>
        <v>32712</v>
      </c>
      <c r="CC58" s="144"/>
      <c r="CD58" s="126">
        <f t="shared" ca="1" si="308"/>
        <v>32712</v>
      </c>
      <c r="CE58" s="126"/>
      <c r="CF58" s="97">
        <f t="shared" ca="1" si="309"/>
        <v>0</v>
      </c>
      <c r="CG58" s="97">
        <f t="shared" ca="1" si="274"/>
        <v>392544</v>
      </c>
      <c r="CH58" s="151">
        <f t="shared" ca="1" si="310"/>
        <v>0</v>
      </c>
      <c r="CI58" s="188">
        <f t="shared" ca="1" si="311"/>
        <v>32712</v>
      </c>
      <c r="CJ58" s="5"/>
      <c r="CK58" s="5"/>
      <c r="CL58" s="5"/>
    </row>
    <row r="59" spans="1:90" s="6" customFormat="1">
      <c r="A59" s="207" t="s">
        <v>128</v>
      </c>
      <c r="B59" s="62">
        <v>51057001</v>
      </c>
      <c r="C59" s="134">
        <f t="shared" ca="1" si="275"/>
        <v>7824000</v>
      </c>
      <c r="D59" s="78"/>
      <c r="E59" s="126">
        <f ca="1">$C59/COUNTA(E$1:$CI$1)</f>
        <v>652000</v>
      </c>
      <c r="F59" s="126"/>
      <c r="G59" s="104">
        <f t="shared" ca="1" si="251"/>
        <v>552000</v>
      </c>
      <c r="H59" s="98">
        <f t="shared" ca="1" si="276"/>
        <v>652000</v>
      </c>
      <c r="I59" s="57">
        <f t="shared" ca="1" si="252"/>
        <v>552000</v>
      </c>
      <c r="J59" s="188">
        <f t="shared" ca="1" si="277"/>
        <v>-100000</v>
      </c>
      <c r="K59" s="70"/>
      <c r="L59" s="126">
        <f t="shared" ca="1" si="312"/>
        <v>652000</v>
      </c>
      <c r="M59" s="126"/>
      <c r="N59" s="97">
        <f t="shared" ca="1" si="278"/>
        <v>672000</v>
      </c>
      <c r="O59" s="98">
        <f t="shared" ca="1" si="279"/>
        <v>1304000</v>
      </c>
      <c r="P59" s="151">
        <f t="shared" ca="1" si="280"/>
        <v>1224000</v>
      </c>
      <c r="Q59" s="188">
        <f t="shared" ca="1" si="281"/>
        <v>-20000</v>
      </c>
      <c r="R59" s="70"/>
      <c r="S59" s="126">
        <f t="shared" ca="1" si="254"/>
        <v>652000</v>
      </c>
      <c r="T59" s="126"/>
      <c r="U59" s="97">
        <f t="shared" ca="1" si="282"/>
        <v>672000</v>
      </c>
      <c r="V59" s="97">
        <f t="shared" ca="1" si="255"/>
        <v>1956000</v>
      </c>
      <c r="W59" s="151">
        <f t="shared" ca="1" si="283"/>
        <v>1896000</v>
      </c>
      <c r="X59" s="188">
        <f t="shared" ca="1" si="284"/>
        <v>-20000</v>
      </c>
      <c r="Y59" s="70"/>
      <c r="Z59" s="126">
        <f t="shared" ca="1" si="256"/>
        <v>652000</v>
      </c>
      <c r="AA59" s="126"/>
      <c r="AB59" s="97">
        <f t="shared" ca="1" si="285"/>
        <v>672000</v>
      </c>
      <c r="AC59" s="97">
        <f t="shared" ca="1" si="257"/>
        <v>2608000</v>
      </c>
      <c r="AD59" s="151">
        <f t="shared" ca="1" si="286"/>
        <v>2568000</v>
      </c>
      <c r="AE59" s="188">
        <f t="shared" ca="1" si="287"/>
        <v>-20000</v>
      </c>
      <c r="AF59" s="70"/>
      <c r="AG59" s="126">
        <f t="shared" ca="1" si="258"/>
        <v>652000</v>
      </c>
      <c r="AH59" s="126"/>
      <c r="AI59" s="97">
        <f t="shared" ca="1" si="288"/>
        <v>672000</v>
      </c>
      <c r="AJ59" s="97">
        <f t="shared" ca="1" si="259"/>
        <v>3260000</v>
      </c>
      <c r="AK59" s="151">
        <f t="shared" ca="1" si="289"/>
        <v>3240000</v>
      </c>
      <c r="AL59" s="188">
        <f t="shared" ca="1" si="290"/>
        <v>-20000</v>
      </c>
      <c r="AM59" s="70"/>
      <c r="AN59" s="126">
        <f t="shared" ca="1" si="260"/>
        <v>652000</v>
      </c>
      <c r="AO59" s="126"/>
      <c r="AP59" s="97">
        <f t="shared" ca="1" si="291"/>
        <v>672000</v>
      </c>
      <c r="AQ59" s="97">
        <f t="shared" ca="1" si="261"/>
        <v>3912000</v>
      </c>
      <c r="AR59" s="151">
        <f t="shared" ca="1" si="292"/>
        <v>3912000</v>
      </c>
      <c r="AS59" s="188">
        <f t="shared" ca="1" si="293"/>
        <v>-20000</v>
      </c>
      <c r="AT59" s="70"/>
      <c r="AU59" s="126">
        <f t="shared" ca="1" si="262"/>
        <v>652000</v>
      </c>
      <c r="AV59" s="126"/>
      <c r="AW59" s="97">
        <f t="shared" ca="1" si="294"/>
        <v>672000</v>
      </c>
      <c r="AX59" s="126">
        <f t="shared" ca="1" si="263"/>
        <v>4564000</v>
      </c>
      <c r="AY59" s="151">
        <f t="shared" ca="1" si="295"/>
        <v>4584000</v>
      </c>
      <c r="AZ59" s="188">
        <f t="shared" ca="1" si="296"/>
        <v>-20000</v>
      </c>
      <c r="BA59" s="144"/>
      <c r="BB59" s="126">
        <f t="shared" ca="1" si="264"/>
        <v>652000</v>
      </c>
      <c r="BC59" s="126"/>
      <c r="BD59" s="97">
        <f t="shared" ca="1" si="297"/>
        <v>672000</v>
      </c>
      <c r="BE59" s="97">
        <f t="shared" ca="1" si="265"/>
        <v>5216000</v>
      </c>
      <c r="BF59" s="151">
        <f t="shared" ca="1" si="298"/>
        <v>5256000</v>
      </c>
      <c r="BG59" s="188">
        <f t="shared" ca="1" si="299"/>
        <v>-20000</v>
      </c>
      <c r="BH59" s="144"/>
      <c r="BI59" s="126">
        <f t="shared" ca="1" si="266"/>
        <v>652000</v>
      </c>
      <c r="BJ59" s="126"/>
      <c r="BK59" s="97">
        <f t="shared" ca="1" si="267"/>
        <v>0</v>
      </c>
      <c r="BL59" s="97">
        <f t="shared" ca="1" si="268"/>
        <v>5868000</v>
      </c>
      <c r="BM59" s="151">
        <f t="shared" ca="1" si="300"/>
        <v>0</v>
      </c>
      <c r="BN59" s="188">
        <f t="shared" ca="1" si="301"/>
        <v>652000</v>
      </c>
      <c r="BO59" s="144"/>
      <c r="BP59" s="126">
        <f t="shared" ca="1" si="269"/>
        <v>652000</v>
      </c>
      <c r="BQ59" s="126"/>
      <c r="BR59" s="97">
        <f t="shared" ca="1" si="302"/>
        <v>0</v>
      </c>
      <c r="BS59" s="97">
        <f t="shared" ca="1" si="270"/>
        <v>6520000</v>
      </c>
      <c r="BT59" s="151">
        <f t="shared" ca="1" si="303"/>
        <v>0</v>
      </c>
      <c r="BU59" s="188">
        <f t="shared" ca="1" si="304"/>
        <v>652000</v>
      </c>
      <c r="BV59" s="144"/>
      <c r="BW59" s="126">
        <f t="shared" ca="1" si="271"/>
        <v>652000</v>
      </c>
      <c r="BX59" s="126"/>
      <c r="BY59" s="97">
        <f t="shared" ca="1" si="305"/>
        <v>0</v>
      </c>
      <c r="BZ59" s="97">
        <f t="shared" ca="1" si="272"/>
        <v>7172000</v>
      </c>
      <c r="CA59" s="151">
        <f t="shared" ca="1" si="306"/>
        <v>0</v>
      </c>
      <c r="CB59" s="188">
        <f t="shared" ca="1" si="307"/>
        <v>652000</v>
      </c>
      <c r="CC59" s="144"/>
      <c r="CD59" s="126">
        <f t="shared" ca="1" si="308"/>
        <v>652000</v>
      </c>
      <c r="CE59" s="126"/>
      <c r="CF59" s="97">
        <f t="shared" ca="1" si="309"/>
        <v>0</v>
      </c>
      <c r="CG59" s="97">
        <f t="shared" ca="1" si="274"/>
        <v>7824000</v>
      </c>
      <c r="CH59" s="151">
        <f t="shared" ca="1" si="310"/>
        <v>0</v>
      </c>
      <c r="CI59" s="188">
        <f t="shared" ca="1" si="311"/>
        <v>652000</v>
      </c>
      <c r="CJ59" s="5"/>
      <c r="CK59" s="5"/>
      <c r="CL59" s="5"/>
    </row>
    <row r="60" spans="1:90" s="6" customFormat="1">
      <c r="A60" s="207" t="s">
        <v>129</v>
      </c>
      <c r="B60" s="62">
        <v>51057201</v>
      </c>
      <c r="C60" s="134">
        <f t="shared" ca="1" si="275"/>
        <v>3008000</v>
      </c>
      <c r="D60" s="78"/>
      <c r="E60" s="126">
        <f ca="1">$C60/COUNTA(E$1:$CI$1)</f>
        <v>250666.66666666666</v>
      </c>
      <c r="F60" s="126"/>
      <c r="G60" s="104">
        <f t="shared" ca="1" si="251"/>
        <v>184000</v>
      </c>
      <c r="H60" s="98">
        <f t="shared" ca="1" si="276"/>
        <v>250666.66666666666</v>
      </c>
      <c r="I60" s="57">
        <f t="shared" ca="1" si="252"/>
        <v>184000</v>
      </c>
      <c r="J60" s="188">
        <f t="shared" ca="1" si="277"/>
        <v>-66666.666666666657</v>
      </c>
      <c r="K60" s="70"/>
      <c r="L60" s="126">
        <f t="shared" ca="1" si="312"/>
        <v>250666.66666666666</v>
      </c>
      <c r="M60" s="126"/>
      <c r="N60" s="97">
        <f t="shared" ca="1" si="278"/>
        <v>264000</v>
      </c>
      <c r="O60" s="98">
        <f t="shared" ca="1" si="279"/>
        <v>501333.33333333331</v>
      </c>
      <c r="P60" s="151">
        <f t="shared" ca="1" si="280"/>
        <v>448000</v>
      </c>
      <c r="Q60" s="188">
        <f t="shared" ca="1" si="281"/>
        <v>-13333.333333333343</v>
      </c>
      <c r="R60" s="70"/>
      <c r="S60" s="126">
        <f t="shared" ca="1" si="254"/>
        <v>250666.66666666666</v>
      </c>
      <c r="T60" s="126"/>
      <c r="U60" s="97">
        <f t="shared" ca="1" si="282"/>
        <v>264000</v>
      </c>
      <c r="V60" s="97">
        <f t="shared" ca="1" si="255"/>
        <v>752000</v>
      </c>
      <c r="W60" s="151">
        <f t="shared" ca="1" si="283"/>
        <v>712000</v>
      </c>
      <c r="X60" s="188">
        <f t="shared" ca="1" si="284"/>
        <v>-13333.333333333343</v>
      </c>
      <c r="Y60" s="70"/>
      <c r="Z60" s="126">
        <f t="shared" ca="1" si="256"/>
        <v>250666.66666666666</v>
      </c>
      <c r="AA60" s="126"/>
      <c r="AB60" s="97">
        <f t="shared" ca="1" si="285"/>
        <v>264000</v>
      </c>
      <c r="AC60" s="97">
        <f t="shared" ca="1" si="257"/>
        <v>1002666.6666666666</v>
      </c>
      <c r="AD60" s="151">
        <f t="shared" ca="1" si="286"/>
        <v>976000</v>
      </c>
      <c r="AE60" s="188">
        <f t="shared" ca="1" si="287"/>
        <v>-13333.333333333343</v>
      </c>
      <c r="AF60" s="70"/>
      <c r="AG60" s="126">
        <f t="shared" ca="1" si="258"/>
        <v>250666.66666666666</v>
      </c>
      <c r="AH60" s="126"/>
      <c r="AI60" s="97">
        <f t="shared" ca="1" si="288"/>
        <v>264000</v>
      </c>
      <c r="AJ60" s="97">
        <f t="shared" ca="1" si="259"/>
        <v>1253333.3333333333</v>
      </c>
      <c r="AK60" s="151">
        <f t="shared" ca="1" si="289"/>
        <v>1240000</v>
      </c>
      <c r="AL60" s="188">
        <f t="shared" ca="1" si="290"/>
        <v>-13333.333333333343</v>
      </c>
      <c r="AM60" s="70"/>
      <c r="AN60" s="126">
        <f t="shared" ca="1" si="260"/>
        <v>250666.66666666666</v>
      </c>
      <c r="AO60" s="126"/>
      <c r="AP60" s="97">
        <f t="shared" ca="1" si="291"/>
        <v>264000</v>
      </c>
      <c r="AQ60" s="97">
        <f t="shared" ca="1" si="261"/>
        <v>1504000</v>
      </c>
      <c r="AR60" s="151">
        <f t="shared" ca="1" si="292"/>
        <v>1504000</v>
      </c>
      <c r="AS60" s="188">
        <f t="shared" ca="1" si="293"/>
        <v>-13333.333333333343</v>
      </c>
      <c r="AT60" s="70"/>
      <c r="AU60" s="126">
        <f t="shared" ca="1" si="262"/>
        <v>250666.66666666666</v>
      </c>
      <c r="AV60" s="126"/>
      <c r="AW60" s="97">
        <f t="shared" ca="1" si="294"/>
        <v>264000</v>
      </c>
      <c r="AX60" s="126">
        <f t="shared" ca="1" si="263"/>
        <v>1754666.6666666667</v>
      </c>
      <c r="AY60" s="151">
        <f t="shared" ca="1" si="295"/>
        <v>1768000</v>
      </c>
      <c r="AZ60" s="188">
        <f t="shared" ca="1" si="296"/>
        <v>-13333.333333333343</v>
      </c>
      <c r="BA60" s="144"/>
      <c r="BB60" s="126">
        <f t="shared" ca="1" si="264"/>
        <v>250666.66666666666</v>
      </c>
      <c r="BC60" s="126"/>
      <c r="BD60" s="97">
        <f t="shared" ca="1" si="297"/>
        <v>264000</v>
      </c>
      <c r="BE60" s="97">
        <f t="shared" ca="1" si="265"/>
        <v>2005333.3333333335</v>
      </c>
      <c r="BF60" s="151">
        <f t="shared" ca="1" si="298"/>
        <v>2032000</v>
      </c>
      <c r="BG60" s="188">
        <f t="shared" ca="1" si="299"/>
        <v>-13333.333333333343</v>
      </c>
      <c r="BH60" s="144"/>
      <c r="BI60" s="126">
        <f t="shared" ca="1" si="266"/>
        <v>250666.66666666666</v>
      </c>
      <c r="BJ60" s="126"/>
      <c r="BK60" s="97">
        <f t="shared" ca="1" si="267"/>
        <v>0</v>
      </c>
      <c r="BL60" s="97">
        <f t="shared" ca="1" si="268"/>
        <v>2256000</v>
      </c>
      <c r="BM60" s="151">
        <f t="shared" ca="1" si="300"/>
        <v>0</v>
      </c>
      <c r="BN60" s="188">
        <f t="shared" ca="1" si="301"/>
        <v>250666.66666666666</v>
      </c>
      <c r="BO60" s="144"/>
      <c r="BP60" s="126">
        <f t="shared" ca="1" si="269"/>
        <v>250666.66666666666</v>
      </c>
      <c r="BQ60" s="126"/>
      <c r="BR60" s="97">
        <f t="shared" ca="1" si="302"/>
        <v>0</v>
      </c>
      <c r="BS60" s="97">
        <f t="shared" ca="1" si="270"/>
        <v>2506666.6666666665</v>
      </c>
      <c r="BT60" s="151">
        <f t="shared" ca="1" si="303"/>
        <v>0</v>
      </c>
      <c r="BU60" s="188">
        <f t="shared" ca="1" si="304"/>
        <v>250666.66666666666</v>
      </c>
      <c r="BV60" s="144"/>
      <c r="BW60" s="126">
        <f t="shared" ca="1" si="271"/>
        <v>250666.66666666666</v>
      </c>
      <c r="BX60" s="126"/>
      <c r="BY60" s="97">
        <f t="shared" ca="1" si="305"/>
        <v>0</v>
      </c>
      <c r="BZ60" s="97">
        <f t="shared" ca="1" si="272"/>
        <v>2757333.333333333</v>
      </c>
      <c r="CA60" s="151">
        <f t="shared" ca="1" si="306"/>
        <v>0</v>
      </c>
      <c r="CB60" s="188">
        <f t="shared" ca="1" si="307"/>
        <v>250666.66666666666</v>
      </c>
      <c r="CC60" s="144"/>
      <c r="CD60" s="126">
        <f t="shared" ca="1" si="308"/>
        <v>250666.66666666666</v>
      </c>
      <c r="CE60" s="126"/>
      <c r="CF60" s="97">
        <f t="shared" ca="1" si="309"/>
        <v>0</v>
      </c>
      <c r="CG60" s="97">
        <f t="shared" ca="1" si="274"/>
        <v>3007999.9999999995</v>
      </c>
      <c r="CH60" s="151">
        <f t="shared" ca="1" si="310"/>
        <v>0</v>
      </c>
      <c r="CI60" s="188">
        <f t="shared" ca="1" si="311"/>
        <v>250666.66666666666</v>
      </c>
      <c r="CJ60" s="5"/>
      <c r="CK60" s="5"/>
      <c r="CL60" s="5"/>
    </row>
    <row r="61" spans="1:90" s="6" customFormat="1">
      <c r="A61" s="133" t="s">
        <v>130</v>
      </c>
      <c r="B61" s="63">
        <v>51058401</v>
      </c>
      <c r="C61" s="134">
        <f t="shared" ca="1" si="275"/>
        <v>2889433.62</v>
      </c>
      <c r="D61" s="78"/>
      <c r="E61" s="126">
        <f ca="1">$C61/COUNTA(E$1:$CI$1)</f>
        <v>240786.13500000001</v>
      </c>
      <c r="F61" s="126"/>
      <c r="G61" s="104">
        <f t="shared" ca="1" si="251"/>
        <v>424000</v>
      </c>
      <c r="H61" s="98">
        <f t="shared" ca="1" si="276"/>
        <v>240786.13500000001</v>
      </c>
      <c r="I61" s="57">
        <f t="shared" ca="1" si="252"/>
        <v>424000</v>
      </c>
      <c r="J61" s="188">
        <f t="shared" ca="1" si="277"/>
        <v>183213.86499999999</v>
      </c>
      <c r="K61" s="70"/>
      <c r="L61" s="126">
        <f t="shared" ca="1" si="312"/>
        <v>240786.13500000001</v>
      </c>
      <c r="M61" s="126"/>
      <c r="N61" s="97">
        <f t="shared" ca="1" si="278"/>
        <v>0</v>
      </c>
      <c r="O61" s="98">
        <f t="shared" ca="1" si="279"/>
        <v>481572.27</v>
      </c>
      <c r="P61" s="151">
        <f t="shared" ca="1" si="280"/>
        <v>424000</v>
      </c>
      <c r="Q61" s="188">
        <f t="shared" ca="1" si="281"/>
        <v>240786.13500000001</v>
      </c>
      <c r="R61" s="70"/>
      <c r="S61" s="126">
        <f t="shared" ca="1" si="254"/>
        <v>240786.13500000001</v>
      </c>
      <c r="T61" s="126"/>
      <c r="U61" s="97">
        <f t="shared" ca="1" si="282"/>
        <v>233277.31000000006</v>
      </c>
      <c r="V61" s="97">
        <f t="shared" ca="1" si="255"/>
        <v>722358.40500000003</v>
      </c>
      <c r="W61" s="151">
        <f t="shared" ca="1" si="283"/>
        <v>657277.31000000006</v>
      </c>
      <c r="X61" s="188">
        <f t="shared" ca="1" si="284"/>
        <v>7508.8249999999534</v>
      </c>
      <c r="Y61" s="70"/>
      <c r="Z61" s="126">
        <f t="shared" ca="1" si="256"/>
        <v>240786.13500000001</v>
      </c>
      <c r="AA61" s="126"/>
      <c r="AB61" s="97">
        <f t="shared" ca="1" si="285"/>
        <v>787439.5</v>
      </c>
      <c r="AC61" s="97">
        <f t="shared" ca="1" si="257"/>
        <v>963144.54</v>
      </c>
      <c r="AD61" s="151">
        <f t="shared" ca="1" si="286"/>
        <v>1444716.81</v>
      </c>
      <c r="AE61" s="188">
        <f t="shared" ca="1" si="287"/>
        <v>-546653.36499999999</v>
      </c>
      <c r="AF61" s="70"/>
      <c r="AG61" s="126">
        <f t="shared" ca="1" si="258"/>
        <v>240786.13500000001</v>
      </c>
      <c r="AH61" s="126"/>
      <c r="AI61" s="97">
        <f t="shared" ca="1" si="288"/>
        <v>0</v>
      </c>
      <c r="AJ61" s="97">
        <f t="shared" ca="1" si="259"/>
        <v>1203930.675</v>
      </c>
      <c r="AK61" s="151">
        <f t="shared" ca="1" si="289"/>
        <v>1444716.81</v>
      </c>
      <c r="AL61" s="188">
        <f t="shared" ca="1" si="290"/>
        <v>240786.13500000001</v>
      </c>
      <c r="AM61" s="70"/>
      <c r="AN61" s="126">
        <f t="shared" ca="1" si="260"/>
        <v>240786.13500000001</v>
      </c>
      <c r="AO61" s="126"/>
      <c r="AP61" s="97">
        <f t="shared" ca="1" si="291"/>
        <v>0</v>
      </c>
      <c r="AQ61" s="97">
        <f t="shared" ca="1" si="261"/>
        <v>1444716.81</v>
      </c>
      <c r="AR61" s="151">
        <f t="shared" ca="1" si="292"/>
        <v>1444716.81</v>
      </c>
      <c r="AS61" s="188">
        <f t="shared" ca="1" si="293"/>
        <v>240786.13500000001</v>
      </c>
      <c r="AT61" s="70"/>
      <c r="AU61" s="126">
        <f t="shared" ca="1" si="262"/>
        <v>240786.13500000001</v>
      </c>
      <c r="AV61" s="126"/>
      <c r="AW61" s="97">
        <f t="shared" ca="1" si="294"/>
        <v>0</v>
      </c>
      <c r="AX61" s="126">
        <f t="shared" ca="1" si="263"/>
        <v>1685502.9450000001</v>
      </c>
      <c r="AY61" s="151">
        <f t="shared" ca="1" si="295"/>
        <v>1444716.81</v>
      </c>
      <c r="AZ61" s="188">
        <f t="shared" ca="1" si="296"/>
        <v>240786.13500000001</v>
      </c>
      <c r="BA61" s="144"/>
      <c r="BB61" s="126">
        <f t="shared" ca="1" si="264"/>
        <v>240786.13500000001</v>
      </c>
      <c r="BC61" s="126"/>
      <c r="BD61" s="97">
        <f t="shared" ca="1" si="297"/>
        <v>27665</v>
      </c>
      <c r="BE61" s="97">
        <f t="shared" ca="1" si="265"/>
        <v>1926289.08</v>
      </c>
      <c r="BF61" s="151">
        <f t="shared" ca="1" si="298"/>
        <v>1472381.81</v>
      </c>
      <c r="BG61" s="188">
        <f t="shared" ca="1" si="299"/>
        <v>213121.13500000001</v>
      </c>
      <c r="BH61" s="144"/>
      <c r="BI61" s="126">
        <f t="shared" ca="1" si="266"/>
        <v>240786.13500000001</v>
      </c>
      <c r="BJ61" s="126"/>
      <c r="BK61" s="97">
        <f t="shared" ca="1" si="267"/>
        <v>0</v>
      </c>
      <c r="BL61" s="97">
        <f t="shared" ca="1" si="268"/>
        <v>2167075.2149999999</v>
      </c>
      <c r="BM61" s="151">
        <f t="shared" ca="1" si="300"/>
        <v>0</v>
      </c>
      <c r="BN61" s="188">
        <f t="shared" ca="1" si="301"/>
        <v>240786.13500000001</v>
      </c>
      <c r="BO61" s="144"/>
      <c r="BP61" s="126">
        <f t="shared" ca="1" si="269"/>
        <v>240786.13500000001</v>
      </c>
      <c r="BQ61" s="126"/>
      <c r="BR61" s="97">
        <f t="shared" ca="1" si="302"/>
        <v>0</v>
      </c>
      <c r="BS61" s="97">
        <f t="shared" ca="1" si="270"/>
        <v>2407861.3499999996</v>
      </c>
      <c r="BT61" s="151">
        <f t="shared" ca="1" si="303"/>
        <v>0</v>
      </c>
      <c r="BU61" s="188">
        <f t="shared" ca="1" si="304"/>
        <v>240786.13500000001</v>
      </c>
      <c r="BV61" s="144"/>
      <c r="BW61" s="126">
        <f t="shared" ca="1" si="271"/>
        <v>240786.13500000001</v>
      </c>
      <c r="BX61" s="126"/>
      <c r="BY61" s="97">
        <f t="shared" ca="1" si="305"/>
        <v>0</v>
      </c>
      <c r="BZ61" s="97">
        <f t="shared" ca="1" si="272"/>
        <v>2648647.4849999994</v>
      </c>
      <c r="CA61" s="151">
        <f t="shared" ca="1" si="306"/>
        <v>0</v>
      </c>
      <c r="CB61" s="188">
        <f t="shared" ca="1" si="307"/>
        <v>240786.13500000001</v>
      </c>
      <c r="CC61" s="144"/>
      <c r="CD61" s="126">
        <f t="shared" ca="1" si="308"/>
        <v>240786.13500000001</v>
      </c>
      <c r="CE61" s="126"/>
      <c r="CF61" s="97">
        <f t="shared" ca="1" si="309"/>
        <v>0</v>
      </c>
      <c r="CG61" s="97">
        <f t="shared" ca="1" si="274"/>
        <v>2889433.6199999992</v>
      </c>
      <c r="CH61" s="151">
        <f t="shared" ca="1" si="310"/>
        <v>0</v>
      </c>
      <c r="CI61" s="188">
        <f t="shared" ca="1" si="311"/>
        <v>240786.13500000001</v>
      </c>
      <c r="CJ61" s="5"/>
      <c r="CK61" s="5"/>
      <c r="CL61" s="5"/>
    </row>
    <row r="62" spans="1:90" s="6" customFormat="1">
      <c r="A62" s="133" t="s">
        <v>131</v>
      </c>
      <c r="B62" s="63">
        <v>51102501</v>
      </c>
      <c r="C62" s="134">
        <f t="shared" ca="1" si="275"/>
        <v>28960000</v>
      </c>
      <c r="D62" s="78"/>
      <c r="E62" s="126">
        <f ca="1">$C62/COUNTA(E$1:$CI$1)</f>
        <v>2413333.3333333335</v>
      </c>
      <c r="F62" s="126"/>
      <c r="G62" s="104">
        <f t="shared" ca="1" si="251"/>
        <v>4580000</v>
      </c>
      <c r="H62" s="98">
        <f t="shared" ca="1" si="276"/>
        <v>2413333.3333333335</v>
      </c>
      <c r="I62" s="57">
        <f t="shared" ca="1" si="252"/>
        <v>4580000</v>
      </c>
      <c r="J62" s="188">
        <f t="shared" ca="1" si="277"/>
        <v>2166666.6666666665</v>
      </c>
      <c r="K62" s="70"/>
      <c r="L62" s="126">
        <f t="shared" ca="1" si="312"/>
        <v>2413333.3333333335</v>
      </c>
      <c r="M62" s="126"/>
      <c r="N62" s="97">
        <f t="shared" ca="1" si="278"/>
        <v>0</v>
      </c>
      <c r="O62" s="98">
        <f t="shared" ca="1" si="279"/>
        <v>4826666.666666667</v>
      </c>
      <c r="P62" s="151">
        <f t="shared" ca="1" si="280"/>
        <v>4580000</v>
      </c>
      <c r="Q62" s="188">
        <f t="shared" ca="1" si="281"/>
        <v>2413333.3333333335</v>
      </c>
      <c r="R62" s="70"/>
      <c r="S62" s="126">
        <f t="shared" ca="1" si="254"/>
        <v>2413333.3333333335</v>
      </c>
      <c r="T62" s="126"/>
      <c r="U62" s="97">
        <f t="shared" ca="1" si="282"/>
        <v>3000000</v>
      </c>
      <c r="V62" s="97">
        <f t="shared" ca="1" si="255"/>
        <v>7240000</v>
      </c>
      <c r="W62" s="151">
        <f t="shared" ca="1" si="283"/>
        <v>7580000</v>
      </c>
      <c r="X62" s="188">
        <f t="shared" ca="1" si="284"/>
        <v>-586666.66666666651</v>
      </c>
      <c r="Y62" s="70"/>
      <c r="Z62" s="126">
        <f t="shared" ca="1" si="256"/>
        <v>2413333.3333333335</v>
      </c>
      <c r="AA62" s="126"/>
      <c r="AB62" s="97">
        <f t="shared" ca="1" si="285"/>
        <v>2000000</v>
      </c>
      <c r="AC62" s="97">
        <f t="shared" ca="1" si="257"/>
        <v>9653333.333333334</v>
      </c>
      <c r="AD62" s="151">
        <f t="shared" ca="1" si="286"/>
        <v>9580000</v>
      </c>
      <c r="AE62" s="188">
        <f t="shared" ca="1" si="287"/>
        <v>413333.33333333349</v>
      </c>
      <c r="AF62" s="70"/>
      <c r="AG62" s="126">
        <f t="shared" ca="1" si="258"/>
        <v>2413333.3333333335</v>
      </c>
      <c r="AH62" s="126"/>
      <c r="AI62" s="97">
        <f t="shared" ca="1" si="288"/>
        <v>4900000</v>
      </c>
      <c r="AJ62" s="97">
        <f t="shared" ca="1" si="259"/>
        <v>12066666.666666668</v>
      </c>
      <c r="AK62" s="151">
        <f t="shared" ca="1" si="289"/>
        <v>14480000</v>
      </c>
      <c r="AL62" s="188">
        <f t="shared" ca="1" si="290"/>
        <v>-2486666.6666666665</v>
      </c>
      <c r="AM62" s="70"/>
      <c r="AN62" s="126">
        <f t="shared" ca="1" si="260"/>
        <v>2413333.3333333335</v>
      </c>
      <c r="AO62" s="126"/>
      <c r="AP62" s="97">
        <f t="shared" ca="1" si="291"/>
        <v>0</v>
      </c>
      <c r="AQ62" s="97">
        <f t="shared" ca="1" si="261"/>
        <v>14480000.000000002</v>
      </c>
      <c r="AR62" s="151">
        <f t="shared" ca="1" si="292"/>
        <v>14480000</v>
      </c>
      <c r="AS62" s="188">
        <f t="shared" ca="1" si="293"/>
        <v>2413333.3333333335</v>
      </c>
      <c r="AT62" s="70"/>
      <c r="AU62" s="126">
        <f t="shared" ca="1" si="262"/>
        <v>2413333.3333333335</v>
      </c>
      <c r="AV62" s="126"/>
      <c r="AW62" s="97">
        <f t="shared" ca="1" si="294"/>
        <v>5400000</v>
      </c>
      <c r="AX62" s="126">
        <f t="shared" ca="1" si="263"/>
        <v>16893333.333333336</v>
      </c>
      <c r="AY62" s="151">
        <f t="shared" ca="1" si="295"/>
        <v>19880000</v>
      </c>
      <c r="AZ62" s="188">
        <f t="shared" ca="1" si="296"/>
        <v>-2986666.6666666665</v>
      </c>
      <c r="BA62" s="144"/>
      <c r="BB62" s="126">
        <f t="shared" ca="1" si="264"/>
        <v>2413333.3333333335</v>
      </c>
      <c r="BC62" s="126"/>
      <c r="BD62" s="97">
        <f t="shared" ca="1" si="297"/>
        <v>-5400000</v>
      </c>
      <c r="BE62" s="97">
        <f t="shared" ca="1" si="265"/>
        <v>19306666.666666668</v>
      </c>
      <c r="BF62" s="151">
        <f t="shared" ca="1" si="298"/>
        <v>14480000</v>
      </c>
      <c r="BG62" s="188">
        <f t="shared" ca="1" si="299"/>
        <v>7813333.333333334</v>
      </c>
      <c r="BH62" s="144"/>
      <c r="BI62" s="126">
        <f t="shared" ca="1" si="266"/>
        <v>2413333.3333333335</v>
      </c>
      <c r="BJ62" s="126"/>
      <c r="BK62" s="97">
        <f t="shared" ca="1" si="267"/>
        <v>0</v>
      </c>
      <c r="BL62" s="97">
        <f t="shared" ca="1" si="268"/>
        <v>21720000</v>
      </c>
      <c r="BM62" s="151">
        <f t="shared" ca="1" si="300"/>
        <v>0</v>
      </c>
      <c r="BN62" s="188">
        <f t="shared" ca="1" si="301"/>
        <v>2413333.3333333335</v>
      </c>
      <c r="BO62" s="144"/>
      <c r="BP62" s="126">
        <f t="shared" ca="1" si="269"/>
        <v>2413333.3333333335</v>
      </c>
      <c r="BQ62" s="126"/>
      <c r="BR62" s="97">
        <f t="shared" ca="1" si="302"/>
        <v>0</v>
      </c>
      <c r="BS62" s="97">
        <f t="shared" ca="1" si="270"/>
        <v>24133333.333333332</v>
      </c>
      <c r="BT62" s="151">
        <f t="shared" ca="1" si="303"/>
        <v>0</v>
      </c>
      <c r="BU62" s="188">
        <f t="shared" ca="1" si="304"/>
        <v>2413333.3333333335</v>
      </c>
      <c r="BV62" s="144"/>
      <c r="BW62" s="126">
        <f t="shared" ca="1" si="271"/>
        <v>2413333.3333333335</v>
      </c>
      <c r="BX62" s="126"/>
      <c r="BY62" s="97">
        <f t="shared" ca="1" si="305"/>
        <v>0</v>
      </c>
      <c r="BZ62" s="97">
        <f t="shared" ca="1" si="272"/>
        <v>26546666.666666664</v>
      </c>
      <c r="CA62" s="151">
        <f t="shared" ca="1" si="306"/>
        <v>0</v>
      </c>
      <c r="CB62" s="188">
        <f t="shared" ca="1" si="307"/>
        <v>2413333.3333333335</v>
      </c>
      <c r="CC62" s="144"/>
      <c r="CD62" s="126">
        <f t="shared" ca="1" si="308"/>
        <v>2413333.3333333335</v>
      </c>
      <c r="CE62" s="126"/>
      <c r="CF62" s="97">
        <f t="shared" ca="1" si="309"/>
        <v>0</v>
      </c>
      <c r="CG62" s="97">
        <f t="shared" ca="1" si="274"/>
        <v>28959999.999999996</v>
      </c>
      <c r="CH62" s="151">
        <f t="shared" ca="1" si="310"/>
        <v>0</v>
      </c>
      <c r="CI62" s="188">
        <f t="shared" ca="1" si="311"/>
        <v>2413333.3333333335</v>
      </c>
      <c r="CJ62" s="5"/>
      <c r="CK62" s="5"/>
      <c r="CL62" s="5"/>
    </row>
    <row r="63" spans="1:90" s="6" customFormat="1">
      <c r="A63" s="133" t="s">
        <v>132</v>
      </c>
      <c r="B63" s="63">
        <v>51103001</v>
      </c>
      <c r="C63" s="134">
        <f t="shared" ca="1" si="275"/>
        <v>2800000</v>
      </c>
      <c r="D63" s="78"/>
      <c r="E63" s="126">
        <f ca="1">$C63/COUNTA(E$1:$CI$1)</f>
        <v>233333.33333333334</v>
      </c>
      <c r="F63" s="126"/>
      <c r="G63" s="104">
        <f t="shared" ca="1" si="251"/>
        <v>0</v>
      </c>
      <c r="H63" s="98">
        <f t="shared" ca="1" si="276"/>
        <v>233333.33333333334</v>
      </c>
      <c r="I63" s="57">
        <f t="shared" ca="1" si="252"/>
        <v>0</v>
      </c>
      <c r="J63" s="188">
        <f t="shared" ca="1" si="277"/>
        <v>-233333.33333333334</v>
      </c>
      <c r="K63" s="70"/>
      <c r="L63" s="126">
        <f t="shared" ca="1" si="312"/>
        <v>233333.33333333334</v>
      </c>
      <c r="M63" s="126"/>
      <c r="N63" s="97">
        <f t="shared" ca="1" si="278"/>
        <v>0</v>
      </c>
      <c r="O63" s="98">
        <f t="shared" ca="1" si="279"/>
        <v>466666.66666666669</v>
      </c>
      <c r="P63" s="151">
        <f t="shared" ca="1" si="280"/>
        <v>0</v>
      </c>
      <c r="Q63" s="188">
        <f t="shared" ca="1" si="281"/>
        <v>233333.33333333334</v>
      </c>
      <c r="R63" s="70"/>
      <c r="S63" s="126">
        <f t="shared" ca="1" si="254"/>
        <v>233333.33333333334</v>
      </c>
      <c r="T63" s="126"/>
      <c r="U63" s="97">
        <f t="shared" ca="1" si="282"/>
        <v>500000</v>
      </c>
      <c r="V63" s="97">
        <f t="shared" ca="1" si="255"/>
        <v>700000</v>
      </c>
      <c r="W63" s="151">
        <f t="shared" ca="1" si="283"/>
        <v>500000</v>
      </c>
      <c r="X63" s="188">
        <f t="shared" ca="1" si="284"/>
        <v>-266666.66666666663</v>
      </c>
      <c r="Y63" s="70"/>
      <c r="Z63" s="126">
        <f t="shared" ca="1" si="256"/>
        <v>233333.33333333334</v>
      </c>
      <c r="AA63" s="126"/>
      <c r="AB63" s="97">
        <f t="shared" ca="1" si="285"/>
        <v>500000</v>
      </c>
      <c r="AC63" s="97">
        <f t="shared" ca="1" si="257"/>
        <v>933333.33333333337</v>
      </c>
      <c r="AD63" s="151">
        <f t="shared" ca="1" si="286"/>
        <v>1000000</v>
      </c>
      <c r="AE63" s="188">
        <f t="shared" ca="1" si="287"/>
        <v>-266666.66666666663</v>
      </c>
      <c r="AF63" s="70"/>
      <c r="AG63" s="126">
        <f t="shared" ca="1" si="258"/>
        <v>233333.33333333334</v>
      </c>
      <c r="AH63" s="126"/>
      <c r="AI63" s="97">
        <f t="shared" ca="1" si="288"/>
        <v>0</v>
      </c>
      <c r="AJ63" s="97">
        <f t="shared" ca="1" si="259"/>
        <v>1166666.6666666667</v>
      </c>
      <c r="AK63" s="151">
        <f t="shared" ca="1" si="289"/>
        <v>1000000</v>
      </c>
      <c r="AL63" s="188">
        <f t="shared" ca="1" si="290"/>
        <v>233333.33333333334</v>
      </c>
      <c r="AM63" s="70"/>
      <c r="AN63" s="126">
        <f t="shared" ca="1" si="260"/>
        <v>233333.33333333334</v>
      </c>
      <c r="AO63" s="126"/>
      <c r="AP63" s="97">
        <f t="shared" ca="1" si="291"/>
        <v>400000</v>
      </c>
      <c r="AQ63" s="97">
        <f t="shared" ca="1" si="261"/>
        <v>1400000</v>
      </c>
      <c r="AR63" s="151">
        <f t="shared" ca="1" si="292"/>
        <v>1400000</v>
      </c>
      <c r="AS63" s="188">
        <f t="shared" ca="1" si="293"/>
        <v>-166666.66666666666</v>
      </c>
      <c r="AT63" s="70"/>
      <c r="AU63" s="126">
        <f t="shared" ca="1" si="262"/>
        <v>233333.33333333334</v>
      </c>
      <c r="AV63" s="126"/>
      <c r="AW63" s="97">
        <f t="shared" ca="1" si="294"/>
        <v>0</v>
      </c>
      <c r="AX63" s="126">
        <f t="shared" ca="1" si="263"/>
        <v>1633333.3333333333</v>
      </c>
      <c r="AY63" s="151">
        <f t="shared" ca="1" si="295"/>
        <v>1400000</v>
      </c>
      <c r="AZ63" s="188">
        <f t="shared" ca="1" si="296"/>
        <v>233333.33333333334</v>
      </c>
      <c r="BA63" s="144"/>
      <c r="BB63" s="126">
        <f t="shared" ca="1" si="264"/>
        <v>233333.33333333334</v>
      </c>
      <c r="BC63" s="126"/>
      <c r="BD63" s="97">
        <f t="shared" ca="1" si="297"/>
        <v>0</v>
      </c>
      <c r="BE63" s="97">
        <f t="shared" ca="1" si="265"/>
        <v>1866666.6666666665</v>
      </c>
      <c r="BF63" s="151">
        <f t="shared" ca="1" si="298"/>
        <v>1400000</v>
      </c>
      <c r="BG63" s="188">
        <f t="shared" ca="1" si="299"/>
        <v>233333.33333333334</v>
      </c>
      <c r="BH63" s="144"/>
      <c r="BI63" s="126">
        <f t="shared" ca="1" si="266"/>
        <v>233333.33333333334</v>
      </c>
      <c r="BJ63" s="126"/>
      <c r="BK63" s="97">
        <f t="shared" ca="1" si="267"/>
        <v>0</v>
      </c>
      <c r="BL63" s="97">
        <f t="shared" ca="1" si="268"/>
        <v>2100000</v>
      </c>
      <c r="BM63" s="151">
        <f t="shared" ca="1" si="300"/>
        <v>0</v>
      </c>
      <c r="BN63" s="188">
        <f t="shared" ca="1" si="301"/>
        <v>233333.33333333334</v>
      </c>
      <c r="BO63" s="144"/>
      <c r="BP63" s="126">
        <f t="shared" ca="1" si="269"/>
        <v>233333.33333333334</v>
      </c>
      <c r="BQ63" s="126"/>
      <c r="BR63" s="97">
        <f t="shared" ca="1" si="302"/>
        <v>0</v>
      </c>
      <c r="BS63" s="97">
        <f t="shared" ca="1" si="270"/>
        <v>2333333.3333333335</v>
      </c>
      <c r="BT63" s="151">
        <f t="shared" ca="1" si="303"/>
        <v>0</v>
      </c>
      <c r="BU63" s="188">
        <f t="shared" ca="1" si="304"/>
        <v>233333.33333333334</v>
      </c>
      <c r="BV63" s="144"/>
      <c r="BW63" s="126">
        <f t="shared" ca="1" si="271"/>
        <v>233333.33333333334</v>
      </c>
      <c r="BX63" s="126"/>
      <c r="BY63" s="97">
        <f t="shared" ca="1" si="305"/>
        <v>0</v>
      </c>
      <c r="BZ63" s="97">
        <f t="shared" ca="1" si="272"/>
        <v>2566666.666666667</v>
      </c>
      <c r="CA63" s="151">
        <f t="shared" ca="1" si="306"/>
        <v>0</v>
      </c>
      <c r="CB63" s="188">
        <f t="shared" ca="1" si="307"/>
        <v>233333.33333333334</v>
      </c>
      <c r="CC63" s="144"/>
      <c r="CD63" s="126">
        <f t="shared" ca="1" si="308"/>
        <v>233333.33333333334</v>
      </c>
      <c r="CE63" s="126"/>
      <c r="CF63" s="97">
        <f t="shared" ca="1" si="309"/>
        <v>0</v>
      </c>
      <c r="CG63" s="97">
        <f t="shared" ca="1" si="274"/>
        <v>2800000.0000000005</v>
      </c>
      <c r="CH63" s="151">
        <f t="shared" ca="1" si="310"/>
        <v>0</v>
      </c>
      <c r="CI63" s="188">
        <f t="shared" ca="1" si="311"/>
        <v>233333.33333333334</v>
      </c>
      <c r="CJ63" s="5"/>
      <c r="CK63" s="5"/>
      <c r="CL63" s="5"/>
    </row>
    <row r="64" spans="1:90" s="6" customFormat="1">
      <c r="A64" s="133" t="s">
        <v>133</v>
      </c>
      <c r="B64" s="63">
        <v>51103501</v>
      </c>
      <c r="C64" s="134">
        <f t="shared" ca="1" si="275"/>
        <v>3760000</v>
      </c>
      <c r="D64" s="78"/>
      <c r="E64" s="126">
        <f ca="1">$C64/COUNTA(E$1:$CI$1)</f>
        <v>313333.33333333331</v>
      </c>
      <c r="F64" s="126"/>
      <c r="G64" s="104">
        <f t="shared" ca="1" si="251"/>
        <v>0</v>
      </c>
      <c r="H64" s="98">
        <f t="shared" ca="1" si="276"/>
        <v>313333.33333333331</v>
      </c>
      <c r="I64" s="57">
        <f t="shared" ca="1" si="252"/>
        <v>0</v>
      </c>
      <c r="J64" s="188">
        <f t="shared" ca="1" si="277"/>
        <v>-313333.33333333331</v>
      </c>
      <c r="K64" s="70"/>
      <c r="L64" s="126">
        <f t="shared" ca="1" si="312"/>
        <v>313333.33333333331</v>
      </c>
      <c r="M64" s="126"/>
      <c r="N64" s="97">
        <f t="shared" ca="1" si="278"/>
        <v>200000</v>
      </c>
      <c r="O64" s="98">
        <f t="shared" ca="1" si="279"/>
        <v>626666.66666666663</v>
      </c>
      <c r="P64" s="151">
        <f t="shared" ca="1" si="280"/>
        <v>200000</v>
      </c>
      <c r="Q64" s="188">
        <f t="shared" ca="1" si="281"/>
        <v>113333.33333333331</v>
      </c>
      <c r="R64" s="70"/>
      <c r="S64" s="126">
        <f t="shared" ca="1" si="254"/>
        <v>313333.33333333331</v>
      </c>
      <c r="T64" s="126"/>
      <c r="U64" s="97">
        <f t="shared" ca="1" si="282"/>
        <v>200000</v>
      </c>
      <c r="V64" s="97">
        <f t="shared" ca="1" si="255"/>
        <v>940000</v>
      </c>
      <c r="W64" s="151">
        <f t="shared" ca="1" si="283"/>
        <v>400000</v>
      </c>
      <c r="X64" s="188">
        <f t="shared" ca="1" si="284"/>
        <v>113333.33333333331</v>
      </c>
      <c r="Y64" s="70"/>
      <c r="Z64" s="126">
        <f t="shared" ca="1" si="256"/>
        <v>313333.33333333331</v>
      </c>
      <c r="AA64" s="126"/>
      <c r="AB64" s="97">
        <f t="shared" ca="1" si="285"/>
        <v>200000</v>
      </c>
      <c r="AC64" s="97">
        <f t="shared" ca="1" si="257"/>
        <v>1253333.3333333333</v>
      </c>
      <c r="AD64" s="151">
        <f t="shared" ca="1" si="286"/>
        <v>600000</v>
      </c>
      <c r="AE64" s="188">
        <f t="shared" ca="1" si="287"/>
        <v>113333.33333333331</v>
      </c>
      <c r="AF64" s="70"/>
      <c r="AG64" s="126">
        <f t="shared" ca="1" si="258"/>
        <v>313333.33333333331</v>
      </c>
      <c r="AH64" s="126"/>
      <c r="AI64" s="97">
        <f t="shared" ca="1" si="288"/>
        <v>0</v>
      </c>
      <c r="AJ64" s="97">
        <f t="shared" ca="1" si="259"/>
        <v>1566666.6666666665</v>
      </c>
      <c r="AK64" s="151">
        <f t="shared" ca="1" si="289"/>
        <v>600000</v>
      </c>
      <c r="AL64" s="188">
        <f t="shared" ca="1" si="290"/>
        <v>313333.33333333331</v>
      </c>
      <c r="AM64" s="70"/>
      <c r="AN64" s="126">
        <f t="shared" ca="1" si="260"/>
        <v>313333.33333333331</v>
      </c>
      <c r="AO64" s="126"/>
      <c r="AP64" s="97">
        <f t="shared" ca="1" si="291"/>
        <v>1280000</v>
      </c>
      <c r="AQ64" s="97">
        <f t="shared" ca="1" si="261"/>
        <v>1879999.9999999998</v>
      </c>
      <c r="AR64" s="151">
        <f t="shared" ca="1" si="292"/>
        <v>1880000</v>
      </c>
      <c r="AS64" s="188">
        <f t="shared" ca="1" si="293"/>
        <v>-966666.66666666674</v>
      </c>
      <c r="AT64" s="70"/>
      <c r="AU64" s="126">
        <f t="shared" ca="1" si="262"/>
        <v>313333.33333333331</v>
      </c>
      <c r="AV64" s="126"/>
      <c r="AW64" s="97">
        <f t="shared" ca="1" si="294"/>
        <v>920000</v>
      </c>
      <c r="AX64" s="126">
        <f t="shared" ca="1" si="263"/>
        <v>2193333.333333333</v>
      </c>
      <c r="AY64" s="151">
        <f t="shared" ca="1" si="295"/>
        <v>2800000</v>
      </c>
      <c r="AZ64" s="188">
        <f t="shared" ca="1" si="296"/>
        <v>-606666.66666666674</v>
      </c>
      <c r="BA64" s="144"/>
      <c r="BB64" s="126">
        <f t="shared" ca="1" si="264"/>
        <v>313333.33333333331</v>
      </c>
      <c r="BC64" s="126"/>
      <c r="BD64" s="97">
        <f t="shared" ca="1" si="297"/>
        <v>200000</v>
      </c>
      <c r="BE64" s="97">
        <f t="shared" ca="1" si="265"/>
        <v>2506666.6666666665</v>
      </c>
      <c r="BF64" s="151">
        <f t="shared" ca="1" si="298"/>
        <v>3000000</v>
      </c>
      <c r="BG64" s="188">
        <f t="shared" ca="1" si="299"/>
        <v>113333.33333333331</v>
      </c>
      <c r="BH64" s="144"/>
      <c r="BI64" s="126">
        <f t="shared" ca="1" si="266"/>
        <v>313333.33333333331</v>
      </c>
      <c r="BJ64" s="126"/>
      <c r="BK64" s="97">
        <f t="shared" ca="1" si="267"/>
        <v>0</v>
      </c>
      <c r="BL64" s="97">
        <f t="shared" ca="1" si="268"/>
        <v>2820000</v>
      </c>
      <c r="BM64" s="151">
        <f t="shared" ca="1" si="300"/>
        <v>0</v>
      </c>
      <c r="BN64" s="188">
        <f t="shared" ca="1" si="301"/>
        <v>313333.33333333331</v>
      </c>
      <c r="BO64" s="144"/>
      <c r="BP64" s="126">
        <f t="shared" ca="1" si="269"/>
        <v>313333.33333333331</v>
      </c>
      <c r="BQ64" s="126"/>
      <c r="BR64" s="97">
        <f t="shared" ca="1" si="302"/>
        <v>0</v>
      </c>
      <c r="BS64" s="97">
        <f t="shared" ca="1" si="270"/>
        <v>3133333.3333333335</v>
      </c>
      <c r="BT64" s="151">
        <f t="shared" ca="1" si="303"/>
        <v>0</v>
      </c>
      <c r="BU64" s="188">
        <f t="shared" ca="1" si="304"/>
        <v>313333.33333333331</v>
      </c>
      <c r="BV64" s="144"/>
      <c r="BW64" s="126">
        <f t="shared" ca="1" si="271"/>
        <v>313333.33333333331</v>
      </c>
      <c r="BX64" s="126"/>
      <c r="BY64" s="97">
        <f t="shared" ca="1" si="305"/>
        <v>0</v>
      </c>
      <c r="BZ64" s="97">
        <f t="shared" ca="1" si="272"/>
        <v>3446666.666666667</v>
      </c>
      <c r="CA64" s="151">
        <f t="shared" ca="1" si="306"/>
        <v>0</v>
      </c>
      <c r="CB64" s="188">
        <f t="shared" ca="1" si="307"/>
        <v>313333.33333333331</v>
      </c>
      <c r="CC64" s="144"/>
      <c r="CD64" s="126">
        <f t="shared" ca="1" si="308"/>
        <v>313333.33333333331</v>
      </c>
      <c r="CE64" s="126"/>
      <c r="CF64" s="97">
        <f t="shared" ca="1" si="309"/>
        <v>0</v>
      </c>
      <c r="CG64" s="97">
        <f t="shared" ca="1" si="274"/>
        <v>3760000.0000000005</v>
      </c>
      <c r="CH64" s="151">
        <f t="shared" ca="1" si="310"/>
        <v>0</v>
      </c>
      <c r="CI64" s="188">
        <f t="shared" ca="1" si="311"/>
        <v>313333.33333333331</v>
      </c>
      <c r="CJ64" s="5"/>
      <c r="CK64" s="5"/>
      <c r="CL64" s="5"/>
    </row>
    <row r="65" spans="1:90" s="6" customFormat="1">
      <c r="A65" s="133" t="s">
        <v>188</v>
      </c>
      <c r="B65" s="63">
        <v>51109501</v>
      </c>
      <c r="C65" s="134">
        <f t="shared" ca="1" si="275"/>
        <v>0</v>
      </c>
      <c r="D65" s="78"/>
      <c r="E65" s="126">
        <f ca="1">$C65/COUNTA(E$1:$CI$1)</f>
        <v>0</v>
      </c>
      <c r="F65" s="126"/>
      <c r="G65" s="104">
        <f t="shared" ca="1" si="251"/>
        <v>0</v>
      </c>
      <c r="H65" s="98">
        <f t="shared" ca="1" si="276"/>
        <v>0</v>
      </c>
      <c r="I65" s="57">
        <f t="shared" ca="1" si="252"/>
        <v>0</v>
      </c>
      <c r="J65" s="188">
        <f t="shared" ca="1" si="277"/>
        <v>0</v>
      </c>
      <c r="K65" s="70"/>
      <c r="L65" s="126">
        <f t="shared" ca="1" si="312"/>
        <v>0</v>
      </c>
      <c r="M65" s="126"/>
      <c r="N65" s="97">
        <f t="shared" ca="1" si="278"/>
        <v>0</v>
      </c>
      <c r="O65" s="98">
        <f t="shared" ca="1" si="279"/>
        <v>0</v>
      </c>
      <c r="P65" s="151">
        <f t="shared" ca="1" si="280"/>
        <v>0</v>
      </c>
      <c r="Q65" s="188">
        <f t="shared" ca="1" si="281"/>
        <v>0</v>
      </c>
      <c r="R65" s="70"/>
      <c r="S65" s="126">
        <f t="shared" ca="1" si="254"/>
        <v>0</v>
      </c>
      <c r="T65" s="126"/>
      <c r="U65" s="97">
        <f t="shared" ca="1" si="282"/>
        <v>0</v>
      </c>
      <c r="V65" s="97">
        <f t="shared" ca="1" si="255"/>
        <v>0</v>
      </c>
      <c r="W65" s="151">
        <f t="shared" ca="1" si="283"/>
        <v>0</v>
      </c>
      <c r="X65" s="188">
        <f t="shared" ca="1" si="284"/>
        <v>0</v>
      </c>
      <c r="Y65" s="70"/>
      <c r="Z65" s="126">
        <f t="shared" ca="1" si="256"/>
        <v>0</v>
      </c>
      <c r="AA65" s="126"/>
      <c r="AB65" s="97">
        <f t="shared" ca="1" si="285"/>
        <v>0</v>
      </c>
      <c r="AC65" s="97">
        <f t="shared" ca="1" si="257"/>
        <v>0</v>
      </c>
      <c r="AD65" s="151">
        <f t="shared" ca="1" si="286"/>
        <v>0</v>
      </c>
      <c r="AE65" s="188">
        <f t="shared" ca="1" si="287"/>
        <v>0</v>
      </c>
      <c r="AF65" s="70"/>
      <c r="AG65" s="126">
        <f t="shared" ca="1" si="258"/>
        <v>0</v>
      </c>
      <c r="AH65" s="126"/>
      <c r="AI65" s="97">
        <f t="shared" ca="1" si="288"/>
        <v>0</v>
      </c>
      <c r="AJ65" s="97">
        <f t="shared" ca="1" si="259"/>
        <v>0</v>
      </c>
      <c r="AK65" s="151">
        <f t="shared" ca="1" si="289"/>
        <v>0</v>
      </c>
      <c r="AL65" s="188">
        <f t="shared" ca="1" si="290"/>
        <v>0</v>
      </c>
      <c r="AM65" s="70"/>
      <c r="AN65" s="126">
        <f t="shared" ca="1" si="260"/>
        <v>0</v>
      </c>
      <c r="AO65" s="126"/>
      <c r="AP65" s="97">
        <f t="shared" ca="1" si="291"/>
        <v>0</v>
      </c>
      <c r="AQ65" s="97">
        <f t="shared" ca="1" si="261"/>
        <v>0</v>
      </c>
      <c r="AR65" s="151">
        <f t="shared" ca="1" si="292"/>
        <v>0</v>
      </c>
      <c r="AS65" s="188">
        <f t="shared" ca="1" si="293"/>
        <v>0</v>
      </c>
      <c r="AT65" s="70"/>
      <c r="AU65" s="126">
        <f t="shared" ca="1" si="262"/>
        <v>0</v>
      </c>
      <c r="AV65" s="126"/>
      <c r="AW65" s="97">
        <f t="shared" ca="1" si="294"/>
        <v>0</v>
      </c>
      <c r="AX65" s="126">
        <f t="shared" ca="1" si="263"/>
        <v>0</v>
      </c>
      <c r="AY65" s="151">
        <f t="shared" ca="1" si="295"/>
        <v>0</v>
      </c>
      <c r="AZ65" s="188">
        <f t="shared" ca="1" si="296"/>
        <v>0</v>
      </c>
      <c r="BA65" s="144"/>
      <c r="BB65" s="126">
        <f t="shared" ca="1" si="264"/>
        <v>0</v>
      </c>
      <c r="BC65" s="126"/>
      <c r="BD65" s="97">
        <f t="shared" ca="1" si="297"/>
        <v>0</v>
      </c>
      <c r="BE65" s="97">
        <f t="shared" ca="1" si="265"/>
        <v>0</v>
      </c>
      <c r="BF65" s="151">
        <f t="shared" ca="1" si="298"/>
        <v>0</v>
      </c>
      <c r="BG65" s="188">
        <f t="shared" ca="1" si="299"/>
        <v>0</v>
      </c>
      <c r="BH65" s="144"/>
      <c r="BI65" s="126">
        <f t="shared" ca="1" si="266"/>
        <v>0</v>
      </c>
      <c r="BJ65" s="126"/>
      <c r="BK65" s="97">
        <f t="shared" ca="1" si="267"/>
        <v>0</v>
      </c>
      <c r="BL65" s="97">
        <f t="shared" ca="1" si="268"/>
        <v>0</v>
      </c>
      <c r="BM65" s="151">
        <f t="shared" ca="1" si="300"/>
        <v>0</v>
      </c>
      <c r="BN65" s="188">
        <f t="shared" ca="1" si="301"/>
        <v>0</v>
      </c>
      <c r="BO65" s="144"/>
      <c r="BP65" s="126">
        <f t="shared" ca="1" si="269"/>
        <v>0</v>
      </c>
      <c r="BQ65" s="126"/>
      <c r="BR65" s="97">
        <f t="shared" ca="1" si="302"/>
        <v>0</v>
      </c>
      <c r="BS65" s="97">
        <f t="shared" ca="1" si="270"/>
        <v>0</v>
      </c>
      <c r="BT65" s="151">
        <f t="shared" ca="1" si="303"/>
        <v>0</v>
      </c>
      <c r="BU65" s="188">
        <f t="shared" ca="1" si="304"/>
        <v>0</v>
      </c>
      <c r="BV65" s="144"/>
      <c r="BW65" s="126">
        <f t="shared" ca="1" si="271"/>
        <v>0</v>
      </c>
      <c r="BX65" s="126"/>
      <c r="BY65" s="97">
        <f t="shared" ca="1" si="305"/>
        <v>0</v>
      </c>
      <c r="BZ65" s="97">
        <f t="shared" ca="1" si="272"/>
        <v>0</v>
      </c>
      <c r="CA65" s="151">
        <f t="shared" ca="1" si="306"/>
        <v>0</v>
      </c>
      <c r="CB65" s="188">
        <f t="shared" ca="1" si="307"/>
        <v>0</v>
      </c>
      <c r="CC65" s="144"/>
      <c r="CD65" s="126">
        <f t="shared" ca="1" si="308"/>
        <v>0</v>
      </c>
      <c r="CE65" s="126"/>
      <c r="CF65" s="97">
        <f t="shared" ca="1" si="309"/>
        <v>0</v>
      </c>
      <c r="CG65" s="97">
        <f t="shared" ca="1" si="274"/>
        <v>0</v>
      </c>
      <c r="CH65" s="151">
        <f t="shared" ca="1" si="310"/>
        <v>0</v>
      </c>
      <c r="CI65" s="188">
        <f t="shared" ca="1" si="311"/>
        <v>0</v>
      </c>
      <c r="CJ65" s="5"/>
      <c r="CK65" s="5"/>
      <c r="CL65" s="5"/>
    </row>
    <row r="66" spans="1:90" s="6" customFormat="1">
      <c r="A66" s="133" t="s">
        <v>582</v>
      </c>
      <c r="B66" s="63">
        <v>51154001</v>
      </c>
      <c r="C66" s="134">
        <f t="shared" ca="1" si="275"/>
        <v>2644300</v>
      </c>
      <c r="D66" s="78"/>
      <c r="E66" s="126">
        <v>0</v>
      </c>
      <c r="F66" s="126"/>
      <c r="G66" s="104">
        <f t="shared" ref="G66" ca="1" si="375">IFERROR(I66,0)</f>
        <v>0</v>
      </c>
      <c r="H66" s="98">
        <f t="shared" ref="H66" si="376">IFERROR(E66,0)</f>
        <v>0</v>
      </c>
      <c r="I66" s="57">
        <f t="shared" ref="I66" ca="1" si="377">IFERROR(IFERROR(VLOOKUP(TEXT($B66,0),INDIRECT("'Balance a "&amp;LEFT(E$1,3)&amp;"'!$B$3:$G$300"),4,0),VLOOKUP(VALUE($B66),INDIRECT("'Balance a "&amp;LEFT(E$1,3)&amp;"'!$B$3:$G$300"),4,0)),0)</f>
        <v>0</v>
      </c>
      <c r="J66" s="188">
        <f t="shared" ref="J66" ca="1" si="378">IFERROR(G66-E66,0)</f>
        <v>0</v>
      </c>
      <c r="K66" s="70"/>
      <c r="L66" s="126">
        <f t="shared" ref="L66" si="379">E66+F66</f>
        <v>0</v>
      </c>
      <c r="M66" s="126"/>
      <c r="N66" s="97">
        <f t="shared" ref="N66" ca="1" si="380">IFERROR(P66-I66,0)</f>
        <v>0</v>
      </c>
      <c r="O66" s="98">
        <f t="shared" ref="O66" si="381">SUM(E66:F66,L66:M66)</f>
        <v>0</v>
      </c>
      <c r="P66" s="151">
        <f t="shared" ref="P66" ca="1" si="382">IFERROR(IFERROR(VLOOKUP(TEXT($B66,0),INDIRECT("'Balance a "&amp;LEFT(L$1,3)&amp;"'!$B$3:$G$300"),6,0),VLOOKUP(VALUE($B66),INDIRECT("'Balance a "&amp;LEFT(L$1,3)&amp;"'!$B$3:$G$300"),6,0)),0)</f>
        <v>0</v>
      </c>
      <c r="Q66" s="188">
        <f ca="1">IFERROR(SUM(L66:M66)-N66,0)</f>
        <v>0</v>
      </c>
      <c r="R66" s="70"/>
      <c r="S66" s="126">
        <f t="shared" ref="S66" si="383">L66+M66</f>
        <v>0</v>
      </c>
      <c r="T66" s="126"/>
      <c r="U66" s="97">
        <f t="shared" ref="U66" ca="1" si="384">IFERROR(W66-P66,0)</f>
        <v>0</v>
      </c>
      <c r="V66" s="97">
        <f t="shared" ref="V66" si="385">SUM(E66:F66,L66:M66,S66:T66)</f>
        <v>0</v>
      </c>
      <c r="W66" s="151">
        <f t="shared" ref="W66" ca="1" si="386">IFERROR(IFERROR(VLOOKUP(TEXT($B66,0),INDIRECT("'Balance a "&amp;LEFT(S$1,3)&amp;"'!$B$3:$G$300"),6,0),VLOOKUP(VALUE($B66),INDIRECT("'Balance a "&amp;LEFT(S$1,3)&amp;"'!$B$3:$G$300"),6,0)),0)</f>
        <v>0</v>
      </c>
      <c r="X66" s="188">
        <f t="shared" ref="X66" ca="1" si="387">IFERROR(SUM(S66:T66)-U66,0)</f>
        <v>0</v>
      </c>
      <c r="Y66" s="70"/>
      <c r="Z66" s="126">
        <f t="shared" ref="Z66" si="388">S66+T66</f>
        <v>0</v>
      </c>
      <c r="AA66" s="126"/>
      <c r="AB66" s="97">
        <f t="shared" ref="AB66" ca="1" si="389">IFERROR(AD66-W66,0)</f>
        <v>0</v>
      </c>
      <c r="AC66" s="97">
        <f t="shared" ref="AC66" si="390">SUM(E66:F66,L66:M66,S66:T66,Z66:AA66)</f>
        <v>0</v>
      </c>
      <c r="AD66" s="151">
        <f t="shared" ref="AD66" ca="1" si="391">IFERROR(IFERROR(VLOOKUP(TEXT($B66,0),INDIRECT("'Balance a "&amp;LEFT(Z$1,3)&amp;"'!$B$3:$G$300"),6,0),VLOOKUP(VALUE($B66),INDIRECT("'Balance a "&amp;LEFT(Z$1,3)&amp;"'!$B$3:$G$300"),6,0)),0)</f>
        <v>0</v>
      </c>
      <c r="AE66" s="188">
        <f t="shared" ref="AE66" ca="1" si="392">IFERROR(SUM(Z66:AA66)-AB66,0)</f>
        <v>0</v>
      </c>
      <c r="AF66" s="70"/>
      <c r="AG66" s="126">
        <f t="shared" ref="AG66" si="393">Z66+AA66</f>
        <v>0</v>
      </c>
      <c r="AH66" s="126"/>
      <c r="AI66" s="97">
        <f t="shared" ref="AI66" ca="1" si="394">IFERROR(AK66-AD66,0)</f>
        <v>0</v>
      </c>
      <c r="AJ66" s="97">
        <f t="shared" ref="AJ66" si="395">SUM(E66:F66,L66:M66,S66:T66,Z66:AA66,AG66:AH66)</f>
        <v>0</v>
      </c>
      <c r="AK66" s="151">
        <f t="shared" ref="AK66" ca="1" si="396">IFERROR(IFERROR(VLOOKUP(TEXT($B66,0),INDIRECT("'Balance a "&amp;LEFT(AG$1,3)&amp;"'!$B$3:$G$300"),6,0),VLOOKUP(VALUE($B66),INDIRECT("'Balance a "&amp;LEFT(AG$1,3)&amp;"'!$B$3:$G$300"),6,0)),0)</f>
        <v>0</v>
      </c>
      <c r="AL66" s="188">
        <f t="shared" ref="AL66" ca="1" si="397">IFERROR(SUM(AG66:AH66)-AI66,0)</f>
        <v>0</v>
      </c>
      <c r="AM66" s="70"/>
      <c r="AN66" s="126">
        <v>1322150</v>
      </c>
      <c r="AO66" s="126"/>
      <c r="AP66" s="97">
        <f t="shared" ref="AP66" ca="1" si="398">IFERROR(AR66-AK66,0)</f>
        <v>1322150</v>
      </c>
      <c r="AQ66" s="97">
        <f t="shared" ref="AQ66" si="399">SUM(E66:F66,L66:M66,S66:T66,Z66:AA66,AG66:AH66,AN66:AO66)</f>
        <v>1322150</v>
      </c>
      <c r="AR66" s="151">
        <f t="shared" ref="AR66" ca="1" si="400">IFERROR(IFERROR(VLOOKUP(TEXT($B66,0),INDIRECT("'Balance a "&amp;LEFT(AN$1,3)&amp;"'!$B$3:$G$300"),6,0),VLOOKUP(VALUE($B66),INDIRECT("'Balance a "&amp;LEFT(AN$1,3)&amp;"'!$B$3:$G$300"),6,0)),0)</f>
        <v>1322150</v>
      </c>
      <c r="AS66" s="188">
        <f ca="1">IFERROR(SUM(AN66:AO66)-AP66,0)</f>
        <v>0</v>
      </c>
      <c r="AT66" s="70"/>
      <c r="AU66" s="126">
        <v>0</v>
      </c>
      <c r="AV66" s="126"/>
      <c r="AW66" s="97">
        <f t="shared" ref="AW66" ca="1" si="401">IFERROR(AY66-AR66,0)</f>
        <v>0</v>
      </c>
      <c r="AX66" s="126">
        <f t="shared" ref="AX66" si="402">SUM(E66:F66,L66:M66,S66:T66,Z66:AA66,AG66:AH66,AN66:AO66,AU66:AV66)</f>
        <v>1322150</v>
      </c>
      <c r="AY66" s="151">
        <f t="shared" ref="AY66" ca="1" si="403">IFERROR(IFERROR(VLOOKUP(TEXT($B66,0),INDIRECT("'Balance a "&amp;LEFT(AU$1,3)&amp;"'!$B$3:$G$300"),6,0),VLOOKUP(VALUE($B66),INDIRECT("'Balance a "&amp;LEFT(AU$1,3)&amp;"'!$B$3:$G$300"),6,0)),0)</f>
        <v>1322150</v>
      </c>
      <c r="AZ66" s="188">
        <f ca="1">IFERROR(SUM(AU66:AV66)-AW66,0)</f>
        <v>0</v>
      </c>
      <c r="BA66" s="144"/>
      <c r="BB66" s="126">
        <f t="shared" ref="BB66" si="404">AU66+AV66</f>
        <v>0</v>
      </c>
      <c r="BC66" s="126"/>
      <c r="BD66" s="97">
        <f t="shared" ref="BD66" ca="1" si="405">IFERROR(BF66-AY66,0)</f>
        <v>0</v>
      </c>
      <c r="BE66" s="97">
        <f t="shared" ref="BE66" si="406">SUM(E66:F66,L66:M66,S66:T66,Z66:AA66,AG66:AH66,AN66:AO66,AU66:AV66,BB66:BC66)</f>
        <v>1322150</v>
      </c>
      <c r="BF66" s="151">
        <f t="shared" ref="BF66" ca="1" si="407">IFERROR(IFERROR(VLOOKUP(TEXT($B66,0),INDIRECT("'Balance a "&amp;LEFT(BB$1,3)&amp;"'!$B$3:$G$300"),6,0),VLOOKUP(VALUE($B66),INDIRECT("'Balance a "&amp;LEFT(BB$1,3)&amp;"'!$B$3:$G$300"),6,0)),0)</f>
        <v>1322150</v>
      </c>
      <c r="BG66" s="188">
        <f t="shared" ref="BG66" ca="1" si="408">IFERROR(SUM(BB66:BC66)-BD66,0)</f>
        <v>0</v>
      </c>
      <c r="BH66" s="144"/>
      <c r="BI66" s="126">
        <f t="shared" ref="BI66" si="409">BB66+BC66</f>
        <v>0</v>
      </c>
      <c r="BJ66" s="126"/>
      <c r="BK66" s="97">
        <f t="shared" ca="1" si="267"/>
        <v>0</v>
      </c>
      <c r="BL66" s="97">
        <f t="shared" ref="BL66" si="410">SUM(E66:F66,L66:M66,S66:T66,Z66:AA66,AG66:AH66,AN66:AO66,AU66:AV66,BB66:BC66,BI66:BJ66)</f>
        <v>1322150</v>
      </c>
      <c r="BM66" s="151">
        <f t="shared" ref="BM66" ca="1" si="411">IFERROR(IFERROR(VLOOKUP(TEXT($B66,0),INDIRECT("'Balance a "&amp;LEFT(BI$1,3)&amp;"'!$B$3:$G$300"),6,0),VLOOKUP(VALUE($B66),INDIRECT("'Balance a "&amp;LEFT(BI$1,3)&amp;"'!$B$3:$G$300"),6,0)),0)</f>
        <v>0</v>
      </c>
      <c r="BN66" s="188">
        <f t="shared" ref="BN66" ca="1" si="412">IFERROR(SUM(BI66:BJ66)-BK66,0)</f>
        <v>0</v>
      </c>
      <c r="BO66" s="144"/>
      <c r="BP66" s="126">
        <f t="shared" ref="BP66" si="413">BI66+BJ66</f>
        <v>0</v>
      </c>
      <c r="BQ66" s="126"/>
      <c r="BR66" s="97">
        <f t="shared" ref="BR66" ca="1" si="414">IFERROR(BT66-BM66,0)</f>
        <v>0</v>
      </c>
      <c r="BS66" s="97">
        <f t="shared" ref="BS66" si="415">SUM(E66:F66,L66:M66,S66:T66,Z66:AA66,AG66:AH66,AN66:AO66,AU66:AV66,BB66:BC66,BI66:BJ66,BP66:BQ66)</f>
        <v>1322150</v>
      </c>
      <c r="BT66" s="151">
        <f t="shared" ref="BT66" ca="1" si="416">IFERROR(IFERROR(VLOOKUP(TEXT($B66,0),INDIRECT("'Balance a "&amp;LEFT(BP$1,3)&amp;"'!$B$3:$G$300"),6,0),VLOOKUP(VALUE($B66),INDIRECT("'Balance a "&amp;LEFT(BP$1,3)&amp;"'!$B$3:$G$300"),6,0)),0)</f>
        <v>0</v>
      </c>
      <c r="BU66" s="188">
        <f t="shared" ref="BU66" ca="1" si="417">IFERROR(SUM(BP66:BQ66)-BR66,0)</f>
        <v>0</v>
      </c>
      <c r="BV66" s="144"/>
      <c r="BW66" s="126">
        <f t="shared" ref="BW66" si="418">BP66+BQ66</f>
        <v>0</v>
      </c>
      <c r="BX66" s="126"/>
      <c r="BY66" s="97">
        <f t="shared" ref="BY66" ca="1" si="419">IFERROR(CA66-BT66,0)</f>
        <v>0</v>
      </c>
      <c r="BZ66" s="97">
        <f t="shared" ref="BZ66" si="420">SUM(E66:F66,L66:M66,S66:T66,Z66:AA66,AG66:AH66,AN66:AO66,AU66:AV66,BB66:BC66,BI66:BJ66,BP66:BQ66,BW66:BX66)</f>
        <v>1322150</v>
      </c>
      <c r="CA66" s="151">
        <f t="shared" ref="CA66" ca="1" si="421">IFERROR(IFERROR(VLOOKUP(TEXT($B66,0),INDIRECT("'Balance a "&amp;LEFT(BW$1,3)&amp;"'!$B$3:$G$300"),6,0),VLOOKUP(VALUE($B66),INDIRECT("'Balance a "&amp;LEFT(BW$1,3)&amp;"'!$B$3:$G$300"),6,0)),0)</f>
        <v>0</v>
      </c>
      <c r="CB66" s="188">
        <f t="shared" ref="CB66" ca="1" si="422">IFERROR(SUM(BW66:BX66)-BY66,0)</f>
        <v>0</v>
      </c>
      <c r="CC66" s="144"/>
      <c r="CD66" s="126">
        <f t="shared" ref="CD66" si="423">BW66+BX66</f>
        <v>0</v>
      </c>
      <c r="CE66" s="126"/>
      <c r="CF66" s="97">
        <f t="shared" ref="CF66" ca="1" si="424">IFERROR(CH66-CA66,0)</f>
        <v>0</v>
      </c>
      <c r="CG66" s="97">
        <f t="shared" ref="CG66" si="425">SUM(E66:F66,L66:M66,S66:T66,Z66:AA66,AG66:AH66,AN66:AO66,AU66:AV66,BB66:BC66,BI66:BJ66,BP66:BQ66,BW66:BX66,CD66:CE66)</f>
        <v>1322150</v>
      </c>
      <c r="CH66" s="151">
        <f t="shared" ref="CH66" ca="1" si="426">IFERROR(IFERROR(VLOOKUP(TEXT($B66,0),INDIRECT("'Balance a "&amp;LEFT(CD$1,3)&amp;"'!$B$3:$G$300"),6,0),VLOOKUP(VALUE($B66),INDIRECT("'Balance a "&amp;LEFT(CD$1,3)&amp;"'!$B$3:$G$300"),6,0)),0)</f>
        <v>0</v>
      </c>
      <c r="CI66" s="188">
        <f t="shared" ref="CI66" ca="1" si="427">IFERROR(SUM(CD66:CE66)-CF66,0)</f>
        <v>0</v>
      </c>
      <c r="CJ66" s="5"/>
      <c r="CK66" s="5"/>
      <c r="CL66" s="5"/>
    </row>
    <row r="67" spans="1:90" s="6" customFormat="1">
      <c r="A67" s="133" t="s">
        <v>110</v>
      </c>
      <c r="B67" s="63">
        <v>51159501</v>
      </c>
      <c r="C67" s="134">
        <f t="shared" ca="1" si="275"/>
        <v>3614922.3</v>
      </c>
      <c r="D67" s="78"/>
      <c r="E67" s="126">
        <f ca="1">$C67/COUNTA(E$1:$CI$1)</f>
        <v>301243.52499999997</v>
      </c>
      <c r="F67" s="126"/>
      <c r="G67" s="104">
        <f t="shared" ca="1" si="251"/>
        <v>389976.13</v>
      </c>
      <c r="H67" s="98">
        <f t="shared" ca="1" si="276"/>
        <v>301243.52499999997</v>
      </c>
      <c r="I67" s="57">
        <f t="shared" ca="1" si="252"/>
        <v>389976.13</v>
      </c>
      <c r="J67" s="188">
        <f t="shared" ca="1" si="277"/>
        <v>88732.60500000004</v>
      </c>
      <c r="K67" s="70"/>
      <c r="L67" s="126">
        <f t="shared" ca="1" si="312"/>
        <v>301243.52499999997</v>
      </c>
      <c r="M67" s="126"/>
      <c r="N67" s="97">
        <f t="shared" ca="1" si="278"/>
        <v>231965.39</v>
      </c>
      <c r="O67" s="98">
        <f t="shared" ca="1" si="279"/>
        <v>602487.04999999993</v>
      </c>
      <c r="P67" s="151">
        <f t="shared" ca="1" si="280"/>
        <v>621941.52</v>
      </c>
      <c r="Q67" s="188">
        <f t="shared" ca="1" si="281"/>
        <v>69278.134999999951</v>
      </c>
      <c r="R67" s="70"/>
      <c r="S67" s="126">
        <f t="shared" ca="1" si="254"/>
        <v>301243.52499999997</v>
      </c>
      <c r="T67" s="126"/>
      <c r="U67" s="97">
        <f t="shared" ca="1" si="282"/>
        <v>220965.59999999893</v>
      </c>
      <c r="V67" s="97">
        <f t="shared" ca="1" si="255"/>
        <v>903730.57499999995</v>
      </c>
      <c r="W67" s="151">
        <f t="shared" ca="1" si="283"/>
        <v>842907.11999999895</v>
      </c>
      <c r="X67" s="188">
        <f t="shared" ca="1" si="284"/>
        <v>80277.925000001036</v>
      </c>
      <c r="Y67" s="70"/>
      <c r="Z67" s="126">
        <f t="shared" ca="1" si="256"/>
        <v>301243.52499999997</v>
      </c>
      <c r="AA67" s="126"/>
      <c r="AB67" s="97">
        <f t="shared" ca="1" si="285"/>
        <v>256807.71000000113</v>
      </c>
      <c r="AC67" s="97">
        <f t="shared" ca="1" si="257"/>
        <v>1204974.0999999999</v>
      </c>
      <c r="AD67" s="151">
        <f t="shared" ca="1" si="286"/>
        <v>1099714.83</v>
      </c>
      <c r="AE67" s="188">
        <f t="shared" ca="1" si="287"/>
        <v>44435.814999998838</v>
      </c>
      <c r="AF67" s="70"/>
      <c r="AG67" s="126">
        <f t="shared" ca="1" si="258"/>
        <v>301243.52499999997</v>
      </c>
      <c r="AH67" s="126"/>
      <c r="AI67" s="97">
        <f t="shared" ca="1" si="288"/>
        <v>479097.39999999991</v>
      </c>
      <c r="AJ67" s="97">
        <f t="shared" ca="1" si="259"/>
        <v>1506217.6249999998</v>
      </c>
      <c r="AK67" s="151">
        <f t="shared" ca="1" si="289"/>
        <v>1578812.23</v>
      </c>
      <c r="AL67" s="188">
        <f t="shared" ca="1" si="290"/>
        <v>-177853.87499999994</v>
      </c>
      <c r="AM67" s="70"/>
      <c r="AN67" s="126">
        <f t="shared" ca="1" si="260"/>
        <v>301243.52499999997</v>
      </c>
      <c r="AO67" s="126"/>
      <c r="AP67" s="97">
        <f t="shared" ca="1" si="291"/>
        <v>228648.91999999993</v>
      </c>
      <c r="AQ67" s="97">
        <f t="shared" ca="1" si="261"/>
        <v>1807461.1499999997</v>
      </c>
      <c r="AR67" s="151">
        <f t="shared" ca="1" si="292"/>
        <v>1807461.15</v>
      </c>
      <c r="AS67" s="188">
        <f t="shared" ca="1" si="293"/>
        <v>72594.60500000004</v>
      </c>
      <c r="AT67" s="70"/>
      <c r="AU67" s="126">
        <f t="shared" ca="1" si="262"/>
        <v>301243.52499999997</v>
      </c>
      <c r="AV67" s="126"/>
      <c r="AW67" s="97">
        <f t="shared" ca="1" si="294"/>
        <v>274851.2100000002</v>
      </c>
      <c r="AX67" s="126">
        <f t="shared" ca="1" si="263"/>
        <v>2108704.6749999998</v>
      </c>
      <c r="AY67" s="151">
        <f t="shared" ca="1" si="295"/>
        <v>2082312.36</v>
      </c>
      <c r="AZ67" s="188">
        <f t="shared" ca="1" si="296"/>
        <v>26392.314999999769</v>
      </c>
      <c r="BA67" s="144"/>
      <c r="BB67" s="126">
        <f t="shared" ca="1" si="264"/>
        <v>301243.52499999997</v>
      </c>
      <c r="BC67" s="126"/>
      <c r="BD67" s="97">
        <f t="shared" ca="1" si="297"/>
        <v>274505.84999999986</v>
      </c>
      <c r="BE67" s="97">
        <f t="shared" ca="1" si="265"/>
        <v>2409948.1999999997</v>
      </c>
      <c r="BF67" s="151">
        <f t="shared" ca="1" si="298"/>
        <v>2356818.21</v>
      </c>
      <c r="BG67" s="188">
        <f t="shared" ca="1" si="299"/>
        <v>26737.675000000105</v>
      </c>
      <c r="BH67" s="144"/>
      <c r="BI67" s="126">
        <f t="shared" ca="1" si="266"/>
        <v>301243.52499999997</v>
      </c>
      <c r="BJ67" s="126"/>
      <c r="BK67" s="97">
        <f t="shared" ca="1" si="267"/>
        <v>0</v>
      </c>
      <c r="BL67" s="97">
        <f t="shared" ca="1" si="268"/>
        <v>2711191.7249999996</v>
      </c>
      <c r="BM67" s="151">
        <f t="shared" ca="1" si="300"/>
        <v>0</v>
      </c>
      <c r="BN67" s="188">
        <f t="shared" ca="1" si="301"/>
        <v>301243.52499999997</v>
      </c>
      <c r="BO67" s="144"/>
      <c r="BP67" s="126">
        <f t="shared" ca="1" si="269"/>
        <v>301243.52499999997</v>
      </c>
      <c r="BQ67" s="126"/>
      <c r="BR67" s="97">
        <f t="shared" ca="1" si="302"/>
        <v>0</v>
      </c>
      <c r="BS67" s="97">
        <f t="shared" ca="1" si="270"/>
        <v>3012435.2499999995</v>
      </c>
      <c r="BT67" s="151">
        <f t="shared" ca="1" si="303"/>
        <v>0</v>
      </c>
      <c r="BU67" s="188">
        <f t="shared" ca="1" si="304"/>
        <v>301243.52499999997</v>
      </c>
      <c r="BV67" s="144"/>
      <c r="BW67" s="126">
        <f t="shared" ca="1" si="271"/>
        <v>301243.52499999997</v>
      </c>
      <c r="BX67" s="126"/>
      <c r="BY67" s="97">
        <f t="shared" ca="1" si="305"/>
        <v>0</v>
      </c>
      <c r="BZ67" s="97">
        <f t="shared" ca="1" si="272"/>
        <v>3313678.7749999994</v>
      </c>
      <c r="CA67" s="151">
        <f t="shared" ca="1" si="306"/>
        <v>0</v>
      </c>
      <c r="CB67" s="188">
        <f t="shared" ca="1" si="307"/>
        <v>301243.52499999997</v>
      </c>
      <c r="CC67" s="144"/>
      <c r="CD67" s="126">
        <f t="shared" ca="1" si="308"/>
        <v>301243.52499999997</v>
      </c>
      <c r="CE67" s="126"/>
      <c r="CF67" s="97">
        <f t="shared" ca="1" si="309"/>
        <v>0</v>
      </c>
      <c r="CG67" s="97">
        <f t="shared" ca="1" si="274"/>
        <v>3614922.2999999993</v>
      </c>
      <c r="CH67" s="151">
        <f t="shared" ca="1" si="310"/>
        <v>0</v>
      </c>
      <c r="CI67" s="188">
        <f t="shared" ca="1" si="311"/>
        <v>301243.52499999997</v>
      </c>
      <c r="CJ67" s="5"/>
      <c r="CK67" s="5"/>
      <c r="CL67" s="5"/>
    </row>
    <row r="68" spans="1:90" s="6" customFormat="1">
      <c r="A68" s="133" t="s">
        <v>198</v>
      </c>
      <c r="B68" s="63">
        <v>51159502</v>
      </c>
      <c r="C68" s="134">
        <f t="shared" ca="1" si="275"/>
        <v>97442.18</v>
      </c>
      <c r="D68" s="78"/>
      <c r="E68" s="126">
        <f ca="1">$C68/COUNTA(E$1:$CI$1)</f>
        <v>8120.1816666666664</v>
      </c>
      <c r="F68" s="126"/>
      <c r="G68" s="104">
        <f t="shared" ca="1" si="251"/>
        <v>349.54</v>
      </c>
      <c r="H68" s="98">
        <f t="shared" ca="1" si="276"/>
        <v>8120.1816666666664</v>
      </c>
      <c r="I68" s="57">
        <f t="shared" ca="1" si="252"/>
        <v>349.54</v>
      </c>
      <c r="J68" s="188">
        <f t="shared" ca="1" si="277"/>
        <v>-7770.6416666666664</v>
      </c>
      <c r="K68" s="70"/>
      <c r="L68" s="126">
        <f t="shared" ca="1" si="312"/>
        <v>8120.1816666666664</v>
      </c>
      <c r="M68" s="126"/>
      <c r="N68" s="97">
        <f t="shared" ca="1" si="278"/>
        <v>6386.55</v>
      </c>
      <c r="O68" s="98">
        <f t="shared" ca="1" si="279"/>
        <v>16240.363333333333</v>
      </c>
      <c r="P68" s="151">
        <f t="shared" ca="1" si="280"/>
        <v>6736.09</v>
      </c>
      <c r="Q68" s="188">
        <f t="shared" ca="1" si="281"/>
        <v>1733.6316666666662</v>
      </c>
      <c r="R68" s="70"/>
      <c r="S68" s="126">
        <f t="shared" ca="1" si="254"/>
        <v>8120.1816666666664</v>
      </c>
      <c r="T68" s="126"/>
      <c r="U68" s="97">
        <f t="shared" ca="1" si="282"/>
        <v>20910</v>
      </c>
      <c r="V68" s="97">
        <f t="shared" ca="1" si="255"/>
        <v>24360.544999999998</v>
      </c>
      <c r="W68" s="151">
        <f t="shared" ca="1" si="283"/>
        <v>27646.09</v>
      </c>
      <c r="X68" s="188">
        <f t="shared" ca="1" si="284"/>
        <v>-12789.818333333333</v>
      </c>
      <c r="Y68" s="70"/>
      <c r="Z68" s="126">
        <f t="shared" ca="1" si="256"/>
        <v>8120.1816666666664</v>
      </c>
      <c r="AA68" s="126"/>
      <c r="AB68" s="97">
        <f t="shared" ca="1" si="285"/>
        <v>15503.999999999996</v>
      </c>
      <c r="AC68" s="97">
        <f t="shared" ca="1" si="257"/>
        <v>32480.726666666666</v>
      </c>
      <c r="AD68" s="151">
        <f t="shared" ca="1" si="286"/>
        <v>43150.09</v>
      </c>
      <c r="AE68" s="188">
        <f t="shared" ca="1" si="287"/>
        <v>-7383.81833333333</v>
      </c>
      <c r="AF68" s="70"/>
      <c r="AG68" s="126">
        <f t="shared" ca="1" si="258"/>
        <v>8120.1816666666664</v>
      </c>
      <c r="AH68" s="126"/>
      <c r="AI68" s="97">
        <f t="shared" ca="1" si="288"/>
        <v>5571</v>
      </c>
      <c r="AJ68" s="97">
        <f t="shared" ca="1" si="259"/>
        <v>40600.908333333333</v>
      </c>
      <c r="AK68" s="151">
        <f t="shared" ca="1" si="289"/>
        <v>48721.09</v>
      </c>
      <c r="AL68" s="188">
        <f t="shared" ca="1" si="290"/>
        <v>2549.1816666666664</v>
      </c>
      <c r="AM68" s="70"/>
      <c r="AN68" s="126">
        <f t="shared" ca="1" si="260"/>
        <v>8120.1816666666664</v>
      </c>
      <c r="AO68" s="126"/>
      <c r="AP68" s="97">
        <f t="shared" ca="1" si="291"/>
        <v>0</v>
      </c>
      <c r="AQ68" s="97">
        <f t="shared" ca="1" si="261"/>
        <v>48721.09</v>
      </c>
      <c r="AR68" s="151">
        <f t="shared" ca="1" si="292"/>
        <v>48721.09</v>
      </c>
      <c r="AS68" s="188">
        <f t="shared" ca="1" si="293"/>
        <v>8120.1816666666664</v>
      </c>
      <c r="AT68" s="70"/>
      <c r="AU68" s="126">
        <f t="shared" ca="1" si="262"/>
        <v>8120.1816666666664</v>
      </c>
      <c r="AV68" s="126"/>
      <c r="AW68" s="97">
        <f t="shared" ca="1" si="294"/>
        <v>0</v>
      </c>
      <c r="AX68" s="126">
        <f t="shared" ca="1" si="263"/>
        <v>56841.27166666666</v>
      </c>
      <c r="AY68" s="151">
        <f t="shared" ca="1" si="295"/>
        <v>48721.09</v>
      </c>
      <c r="AZ68" s="188">
        <f t="shared" ca="1" si="296"/>
        <v>8120.1816666666664</v>
      </c>
      <c r="BA68" s="144"/>
      <c r="BB68" s="126">
        <f t="shared" ca="1" si="264"/>
        <v>8120.1816666666664</v>
      </c>
      <c r="BC68" s="126"/>
      <c r="BD68" s="97">
        <f t="shared" ca="1" si="297"/>
        <v>17620.680000000008</v>
      </c>
      <c r="BE68" s="97">
        <f t="shared" ca="1" si="265"/>
        <v>64961.453333333324</v>
      </c>
      <c r="BF68" s="151">
        <f t="shared" ca="1" si="298"/>
        <v>66341.77</v>
      </c>
      <c r="BG68" s="188">
        <f t="shared" ca="1" si="299"/>
        <v>-9500.4983333333403</v>
      </c>
      <c r="BH68" s="144"/>
      <c r="BI68" s="126">
        <f t="shared" ca="1" si="266"/>
        <v>8120.1816666666664</v>
      </c>
      <c r="BJ68" s="126"/>
      <c r="BK68" s="97">
        <f t="shared" ca="1" si="267"/>
        <v>0</v>
      </c>
      <c r="BL68" s="97">
        <f t="shared" ca="1" si="268"/>
        <v>73081.634999999995</v>
      </c>
      <c r="BM68" s="151">
        <f t="shared" ca="1" si="300"/>
        <v>0</v>
      </c>
      <c r="BN68" s="188">
        <f t="shared" ca="1" si="301"/>
        <v>8120.1816666666664</v>
      </c>
      <c r="BO68" s="144"/>
      <c r="BP68" s="126">
        <f t="shared" ca="1" si="269"/>
        <v>8120.1816666666664</v>
      </c>
      <c r="BQ68" s="126"/>
      <c r="BR68" s="97">
        <f t="shared" ca="1" si="302"/>
        <v>0</v>
      </c>
      <c r="BS68" s="97">
        <f t="shared" ca="1" si="270"/>
        <v>81201.816666666666</v>
      </c>
      <c r="BT68" s="151">
        <f t="shared" ca="1" si="303"/>
        <v>0</v>
      </c>
      <c r="BU68" s="188">
        <f t="shared" ca="1" si="304"/>
        <v>8120.1816666666664</v>
      </c>
      <c r="BV68" s="144"/>
      <c r="BW68" s="126">
        <f t="shared" ca="1" si="271"/>
        <v>8120.1816666666664</v>
      </c>
      <c r="BX68" s="126"/>
      <c r="BY68" s="97">
        <f t="shared" ca="1" si="305"/>
        <v>0</v>
      </c>
      <c r="BZ68" s="97">
        <f t="shared" ca="1" si="272"/>
        <v>89321.998333333337</v>
      </c>
      <c r="CA68" s="151">
        <f t="shared" ca="1" si="306"/>
        <v>0</v>
      </c>
      <c r="CB68" s="188">
        <f t="shared" ca="1" si="307"/>
        <v>8120.1816666666664</v>
      </c>
      <c r="CC68" s="144"/>
      <c r="CD68" s="126">
        <f t="shared" ca="1" si="308"/>
        <v>8120.1816666666664</v>
      </c>
      <c r="CE68" s="126"/>
      <c r="CF68" s="97">
        <f t="shared" ca="1" si="309"/>
        <v>0</v>
      </c>
      <c r="CG68" s="97">
        <f t="shared" ca="1" si="274"/>
        <v>97442.180000000008</v>
      </c>
      <c r="CH68" s="151">
        <f t="shared" ca="1" si="310"/>
        <v>0</v>
      </c>
      <c r="CI68" s="188">
        <f t="shared" ca="1" si="311"/>
        <v>8120.1816666666664</v>
      </c>
      <c r="CJ68" s="5"/>
      <c r="CK68" s="5"/>
      <c r="CL68" s="5"/>
    </row>
    <row r="69" spans="1:90" s="6" customFormat="1">
      <c r="A69" s="133" t="s">
        <v>134</v>
      </c>
      <c r="B69" s="63">
        <v>51159506</v>
      </c>
      <c r="C69" s="134">
        <f t="shared" ca="1" si="275"/>
        <v>26963.040000000001</v>
      </c>
      <c r="D69" s="78"/>
      <c r="E69" s="126">
        <f ca="1">$C69/COUNTA(E$1:$CI$1)</f>
        <v>2246.92</v>
      </c>
      <c r="F69" s="126"/>
      <c r="G69" s="104">
        <f t="shared" ca="1" si="251"/>
        <v>0</v>
      </c>
      <c r="H69" s="98">
        <f t="shared" ca="1" si="276"/>
        <v>2246.92</v>
      </c>
      <c r="I69" s="57">
        <f t="shared" ca="1" si="252"/>
        <v>0</v>
      </c>
      <c r="J69" s="188">
        <f t="shared" ca="1" si="277"/>
        <v>-2246.92</v>
      </c>
      <c r="K69" s="70"/>
      <c r="L69" s="126">
        <f t="shared" ca="1" si="312"/>
        <v>2246.92</v>
      </c>
      <c r="M69" s="126"/>
      <c r="N69" s="97">
        <f t="shared" ca="1" si="278"/>
        <v>0</v>
      </c>
      <c r="O69" s="98">
        <f t="shared" ca="1" si="279"/>
        <v>4493.84</v>
      </c>
      <c r="P69" s="151">
        <f t="shared" ca="1" si="280"/>
        <v>0</v>
      </c>
      <c r="Q69" s="188">
        <f t="shared" ca="1" si="281"/>
        <v>2246.92</v>
      </c>
      <c r="R69" s="70"/>
      <c r="S69" s="126">
        <f t="shared" ca="1" si="254"/>
        <v>2246.92</v>
      </c>
      <c r="T69" s="126"/>
      <c r="U69" s="97">
        <f t="shared" ca="1" si="282"/>
        <v>0</v>
      </c>
      <c r="V69" s="97">
        <f t="shared" ca="1" si="255"/>
        <v>6740.76</v>
      </c>
      <c r="W69" s="151">
        <f t="shared" ca="1" si="283"/>
        <v>0</v>
      </c>
      <c r="X69" s="188">
        <f t="shared" ca="1" si="284"/>
        <v>2246.92</v>
      </c>
      <c r="Y69" s="70"/>
      <c r="Z69" s="126">
        <f t="shared" ca="1" si="256"/>
        <v>2246.92</v>
      </c>
      <c r="AA69" s="126"/>
      <c r="AB69" s="97">
        <f t="shared" ca="1" si="285"/>
        <v>0</v>
      </c>
      <c r="AC69" s="97">
        <f t="shared" ca="1" si="257"/>
        <v>8987.68</v>
      </c>
      <c r="AD69" s="151">
        <f t="shared" ca="1" si="286"/>
        <v>0</v>
      </c>
      <c r="AE69" s="188">
        <f t="shared" ca="1" si="287"/>
        <v>2246.92</v>
      </c>
      <c r="AF69" s="70"/>
      <c r="AG69" s="126">
        <f t="shared" ca="1" si="258"/>
        <v>2246.92</v>
      </c>
      <c r="AH69" s="126"/>
      <c r="AI69" s="97">
        <f t="shared" ca="1" si="288"/>
        <v>0</v>
      </c>
      <c r="AJ69" s="97">
        <f t="shared" ca="1" si="259"/>
        <v>11234.6</v>
      </c>
      <c r="AK69" s="151">
        <f t="shared" ca="1" si="289"/>
        <v>0</v>
      </c>
      <c r="AL69" s="188">
        <f t="shared" ca="1" si="290"/>
        <v>2246.92</v>
      </c>
      <c r="AM69" s="70"/>
      <c r="AN69" s="126">
        <f t="shared" ca="1" si="260"/>
        <v>2246.92</v>
      </c>
      <c r="AO69" s="126"/>
      <c r="AP69" s="97">
        <f t="shared" ca="1" si="291"/>
        <v>13481.52</v>
      </c>
      <c r="AQ69" s="97">
        <f t="shared" ca="1" si="261"/>
        <v>13481.52</v>
      </c>
      <c r="AR69" s="151">
        <f t="shared" ca="1" si="292"/>
        <v>13481.52</v>
      </c>
      <c r="AS69" s="188">
        <f t="shared" ca="1" si="293"/>
        <v>-11234.6</v>
      </c>
      <c r="AT69" s="70"/>
      <c r="AU69" s="126">
        <f t="shared" ca="1" si="262"/>
        <v>2246.92</v>
      </c>
      <c r="AV69" s="126"/>
      <c r="AW69" s="97">
        <f t="shared" ca="1" si="294"/>
        <v>0</v>
      </c>
      <c r="AX69" s="126">
        <f t="shared" ca="1" si="263"/>
        <v>15728.44</v>
      </c>
      <c r="AY69" s="151">
        <f t="shared" ca="1" si="295"/>
        <v>13481.52</v>
      </c>
      <c r="AZ69" s="188">
        <f t="shared" ca="1" si="296"/>
        <v>2246.92</v>
      </c>
      <c r="BA69" s="144"/>
      <c r="BB69" s="126">
        <f t="shared" ca="1" si="264"/>
        <v>2246.92</v>
      </c>
      <c r="BC69" s="126"/>
      <c r="BD69" s="97">
        <f t="shared" ca="1" si="297"/>
        <v>0</v>
      </c>
      <c r="BE69" s="97">
        <f t="shared" ca="1" si="265"/>
        <v>17975.36</v>
      </c>
      <c r="BF69" s="151">
        <f t="shared" ca="1" si="298"/>
        <v>13481.52</v>
      </c>
      <c r="BG69" s="188">
        <f t="shared" ca="1" si="299"/>
        <v>2246.92</v>
      </c>
      <c r="BH69" s="144"/>
      <c r="BI69" s="126">
        <f t="shared" ca="1" si="266"/>
        <v>2246.92</v>
      </c>
      <c r="BJ69" s="126"/>
      <c r="BK69" s="97">
        <f t="shared" ca="1" si="267"/>
        <v>0</v>
      </c>
      <c r="BL69" s="97">
        <f t="shared" ca="1" si="268"/>
        <v>20222.28</v>
      </c>
      <c r="BM69" s="151">
        <f t="shared" ca="1" si="300"/>
        <v>0</v>
      </c>
      <c r="BN69" s="188">
        <f t="shared" ca="1" si="301"/>
        <v>2246.92</v>
      </c>
      <c r="BO69" s="144"/>
      <c r="BP69" s="126">
        <f t="shared" ca="1" si="269"/>
        <v>2246.92</v>
      </c>
      <c r="BQ69" s="126"/>
      <c r="BR69" s="97">
        <f t="shared" ca="1" si="302"/>
        <v>0</v>
      </c>
      <c r="BS69" s="97">
        <f t="shared" ca="1" si="270"/>
        <v>22469.199999999997</v>
      </c>
      <c r="BT69" s="151">
        <f t="shared" ca="1" si="303"/>
        <v>0</v>
      </c>
      <c r="BU69" s="188">
        <f t="shared" ca="1" si="304"/>
        <v>2246.92</v>
      </c>
      <c r="BV69" s="144"/>
      <c r="BW69" s="126">
        <f t="shared" ca="1" si="271"/>
        <v>2246.92</v>
      </c>
      <c r="BX69" s="126"/>
      <c r="BY69" s="97">
        <f t="shared" ca="1" si="305"/>
        <v>0</v>
      </c>
      <c r="BZ69" s="97">
        <f t="shared" ca="1" si="272"/>
        <v>24716.119999999995</v>
      </c>
      <c r="CA69" s="151">
        <f t="shared" ca="1" si="306"/>
        <v>0</v>
      </c>
      <c r="CB69" s="188">
        <f t="shared" ca="1" si="307"/>
        <v>2246.92</v>
      </c>
      <c r="CC69" s="144"/>
      <c r="CD69" s="126">
        <f t="shared" ca="1" si="308"/>
        <v>2246.92</v>
      </c>
      <c r="CE69" s="126"/>
      <c r="CF69" s="97">
        <f t="shared" ca="1" si="309"/>
        <v>0</v>
      </c>
      <c r="CG69" s="97">
        <f t="shared" ca="1" si="274"/>
        <v>26963.039999999994</v>
      </c>
      <c r="CH69" s="151">
        <f t="shared" ca="1" si="310"/>
        <v>0</v>
      </c>
      <c r="CI69" s="188">
        <f t="shared" ca="1" si="311"/>
        <v>2246.92</v>
      </c>
      <c r="CJ69" s="5"/>
      <c r="CK69" s="5"/>
      <c r="CL69" s="5"/>
    </row>
    <row r="70" spans="1:90" s="6" customFormat="1">
      <c r="A70" s="133" t="s">
        <v>135</v>
      </c>
      <c r="B70" s="63">
        <v>51159508</v>
      </c>
      <c r="C70" s="134">
        <f t="shared" ca="1" si="275"/>
        <v>538505.35999999801</v>
      </c>
      <c r="D70" s="78"/>
      <c r="E70" s="126">
        <f ca="1">$C70/COUNTA(E$1:$CI$1)</f>
        <v>44875.446666666503</v>
      </c>
      <c r="F70" s="126"/>
      <c r="G70" s="104">
        <f t="shared" ca="1" si="251"/>
        <v>1120</v>
      </c>
      <c r="H70" s="98">
        <f t="shared" ca="1" si="276"/>
        <v>44875.446666666503</v>
      </c>
      <c r="I70" s="57">
        <f t="shared" ca="1" si="252"/>
        <v>1120</v>
      </c>
      <c r="J70" s="188">
        <f t="shared" ca="1" si="277"/>
        <v>-43755.446666666503</v>
      </c>
      <c r="K70" s="70"/>
      <c r="L70" s="126">
        <f t="shared" ca="1" si="312"/>
        <v>44875.446666666503</v>
      </c>
      <c r="M70" s="126"/>
      <c r="N70" s="97">
        <f t="shared" ca="1" si="278"/>
        <v>105883.48</v>
      </c>
      <c r="O70" s="98">
        <f t="shared" ca="1" si="279"/>
        <v>89750.893333333006</v>
      </c>
      <c r="P70" s="151">
        <f t="shared" ca="1" si="280"/>
        <v>107003.48</v>
      </c>
      <c r="Q70" s="188">
        <f t="shared" ca="1" si="281"/>
        <v>-61008.033333333493</v>
      </c>
      <c r="R70" s="70"/>
      <c r="S70" s="126">
        <f t="shared" ca="1" si="254"/>
        <v>44875.446666666503</v>
      </c>
      <c r="T70" s="126"/>
      <c r="U70" s="97">
        <f t="shared" ca="1" si="282"/>
        <v>11535.149999999005</v>
      </c>
      <c r="V70" s="97">
        <f t="shared" ca="1" si="255"/>
        <v>134626.3399999995</v>
      </c>
      <c r="W70" s="151">
        <f t="shared" ca="1" si="283"/>
        <v>118538.629999999</v>
      </c>
      <c r="X70" s="188">
        <f t="shared" ca="1" si="284"/>
        <v>33340.296666667498</v>
      </c>
      <c r="Y70" s="70"/>
      <c r="Z70" s="126">
        <f t="shared" ca="1" si="256"/>
        <v>44875.446666666503</v>
      </c>
      <c r="AA70" s="126"/>
      <c r="AB70" s="97">
        <f t="shared" ca="1" si="285"/>
        <v>6639</v>
      </c>
      <c r="AC70" s="97">
        <f t="shared" ca="1" si="257"/>
        <v>179501.78666666601</v>
      </c>
      <c r="AD70" s="151">
        <f t="shared" ca="1" si="286"/>
        <v>125177.629999999</v>
      </c>
      <c r="AE70" s="188">
        <f t="shared" ca="1" si="287"/>
        <v>38236.446666666503</v>
      </c>
      <c r="AF70" s="70"/>
      <c r="AG70" s="126">
        <f t="shared" ca="1" si="258"/>
        <v>44875.446666666503</v>
      </c>
      <c r="AH70" s="126"/>
      <c r="AI70" s="97">
        <f t="shared" ca="1" si="288"/>
        <v>66875.380000001009</v>
      </c>
      <c r="AJ70" s="97">
        <f t="shared" ca="1" si="259"/>
        <v>224377.23333333252</v>
      </c>
      <c r="AK70" s="151">
        <f t="shared" ca="1" si="289"/>
        <v>192053.01</v>
      </c>
      <c r="AL70" s="188">
        <f t="shared" ca="1" si="290"/>
        <v>-21999.933333334506</v>
      </c>
      <c r="AM70" s="70"/>
      <c r="AN70" s="126">
        <f t="shared" ca="1" si="260"/>
        <v>44875.446666666503</v>
      </c>
      <c r="AO70" s="126"/>
      <c r="AP70" s="97">
        <f t="shared" ca="1" si="291"/>
        <v>77199.669999998994</v>
      </c>
      <c r="AQ70" s="97">
        <f t="shared" ca="1" si="261"/>
        <v>269252.679999999</v>
      </c>
      <c r="AR70" s="151">
        <f t="shared" ca="1" si="292"/>
        <v>269252.679999999</v>
      </c>
      <c r="AS70" s="188">
        <f t="shared" ca="1" si="293"/>
        <v>-32324.223333332491</v>
      </c>
      <c r="AT70" s="70"/>
      <c r="AU70" s="126">
        <f t="shared" ca="1" si="262"/>
        <v>44875.446666666503</v>
      </c>
      <c r="AV70" s="126"/>
      <c r="AW70" s="97">
        <f t="shared" ca="1" si="294"/>
        <v>0</v>
      </c>
      <c r="AX70" s="126">
        <f t="shared" ca="1" si="263"/>
        <v>314128.12666666548</v>
      </c>
      <c r="AY70" s="151">
        <f t="shared" ca="1" si="295"/>
        <v>269252.679999999</v>
      </c>
      <c r="AZ70" s="188">
        <f t="shared" ca="1" si="296"/>
        <v>44875.446666666503</v>
      </c>
      <c r="BA70" s="144"/>
      <c r="BB70" s="126">
        <f t="shared" ca="1" si="264"/>
        <v>44875.446666666503</v>
      </c>
      <c r="BC70" s="126"/>
      <c r="BD70" s="97">
        <f t="shared" ca="1" si="297"/>
        <v>1958.1200000009849</v>
      </c>
      <c r="BE70" s="97">
        <f t="shared" ca="1" si="265"/>
        <v>359003.57333333197</v>
      </c>
      <c r="BF70" s="151">
        <f t="shared" ca="1" si="298"/>
        <v>271210.8</v>
      </c>
      <c r="BG70" s="188">
        <f t="shared" ca="1" si="299"/>
        <v>42917.326666665518</v>
      </c>
      <c r="BH70" s="144"/>
      <c r="BI70" s="126">
        <f t="shared" ca="1" si="266"/>
        <v>44875.446666666503</v>
      </c>
      <c r="BJ70" s="126"/>
      <c r="BK70" s="97">
        <f t="shared" ca="1" si="267"/>
        <v>0</v>
      </c>
      <c r="BL70" s="97">
        <f t="shared" ca="1" si="268"/>
        <v>403879.01999999845</v>
      </c>
      <c r="BM70" s="151">
        <f t="shared" ca="1" si="300"/>
        <v>0</v>
      </c>
      <c r="BN70" s="188">
        <f t="shared" ca="1" si="301"/>
        <v>44875.446666666503</v>
      </c>
      <c r="BO70" s="144"/>
      <c r="BP70" s="126">
        <f t="shared" ca="1" si="269"/>
        <v>44875.446666666503</v>
      </c>
      <c r="BQ70" s="126"/>
      <c r="BR70" s="97">
        <f t="shared" ca="1" si="302"/>
        <v>0</v>
      </c>
      <c r="BS70" s="97">
        <f t="shared" ca="1" si="270"/>
        <v>448754.46666666493</v>
      </c>
      <c r="BT70" s="151">
        <f t="shared" ca="1" si="303"/>
        <v>0</v>
      </c>
      <c r="BU70" s="188">
        <f t="shared" ca="1" si="304"/>
        <v>44875.446666666503</v>
      </c>
      <c r="BV70" s="144"/>
      <c r="BW70" s="126">
        <f t="shared" ca="1" si="271"/>
        <v>44875.446666666503</v>
      </c>
      <c r="BX70" s="126"/>
      <c r="BY70" s="97">
        <f t="shared" ca="1" si="305"/>
        <v>0</v>
      </c>
      <c r="BZ70" s="97">
        <f t="shared" ca="1" si="272"/>
        <v>493629.91333333141</v>
      </c>
      <c r="CA70" s="151">
        <f t="shared" ca="1" si="306"/>
        <v>0</v>
      </c>
      <c r="CB70" s="188">
        <f t="shared" ca="1" si="307"/>
        <v>44875.446666666503</v>
      </c>
      <c r="CC70" s="144"/>
      <c r="CD70" s="126">
        <f t="shared" ca="1" si="308"/>
        <v>44875.446666666503</v>
      </c>
      <c r="CE70" s="126"/>
      <c r="CF70" s="97">
        <f t="shared" ca="1" si="309"/>
        <v>0</v>
      </c>
      <c r="CG70" s="97">
        <f t="shared" ca="1" si="274"/>
        <v>538505.35999999789</v>
      </c>
      <c r="CH70" s="151">
        <f t="shared" ca="1" si="310"/>
        <v>0</v>
      </c>
      <c r="CI70" s="188">
        <f t="shared" ca="1" si="311"/>
        <v>44875.446666666503</v>
      </c>
      <c r="CJ70" s="5"/>
      <c r="CK70" s="5"/>
      <c r="CL70" s="5"/>
    </row>
    <row r="71" spans="1:90" s="6" customFormat="1">
      <c r="A71" s="133" t="s">
        <v>136</v>
      </c>
      <c r="B71" s="63">
        <v>51201001</v>
      </c>
      <c r="C71" s="134">
        <f t="shared" ca="1" si="275"/>
        <v>15695260</v>
      </c>
      <c r="D71" s="78"/>
      <c r="E71" s="126">
        <v>1409000</v>
      </c>
      <c r="F71" s="126"/>
      <c r="G71" s="104">
        <f t="shared" ca="1" si="251"/>
        <v>1263500</v>
      </c>
      <c r="H71" s="150">
        <f>IFERROR(E71+F71,0)</f>
        <v>1409000</v>
      </c>
      <c r="I71" s="57">
        <f t="shared" ca="1" si="252"/>
        <v>1263500</v>
      </c>
      <c r="J71" s="188">
        <f t="shared" ca="1" si="277"/>
        <v>-145500</v>
      </c>
      <c r="K71" s="70"/>
      <c r="L71" s="126">
        <f t="shared" si="312"/>
        <v>1409000</v>
      </c>
      <c r="M71" s="126"/>
      <c r="N71" s="97">
        <f t="shared" ca="1" si="278"/>
        <v>1229019</v>
      </c>
      <c r="O71" s="98">
        <f t="shared" si="279"/>
        <v>2818000</v>
      </c>
      <c r="P71" s="151">
        <f t="shared" ca="1" si="280"/>
        <v>2492519</v>
      </c>
      <c r="Q71" s="188">
        <f t="shared" ca="1" si="281"/>
        <v>179981</v>
      </c>
      <c r="R71" s="70"/>
      <c r="S71" s="126">
        <f t="shared" si="254"/>
        <v>1409000</v>
      </c>
      <c r="T71" s="126"/>
      <c r="U71" s="97">
        <f t="shared" ca="1" si="282"/>
        <v>1346785</v>
      </c>
      <c r="V71" s="97">
        <f t="shared" si="255"/>
        <v>4227000</v>
      </c>
      <c r="W71" s="151">
        <f t="shared" ca="1" si="283"/>
        <v>3839304</v>
      </c>
      <c r="X71" s="188">
        <f t="shared" ca="1" si="284"/>
        <v>62215</v>
      </c>
      <c r="Y71" s="70"/>
      <c r="Z71" s="126">
        <f t="shared" si="256"/>
        <v>1409000</v>
      </c>
      <c r="AA71" s="126"/>
      <c r="AB71" s="97">
        <f t="shared" ca="1" si="285"/>
        <v>1346785</v>
      </c>
      <c r="AC71" s="97">
        <f t="shared" si="257"/>
        <v>5636000</v>
      </c>
      <c r="AD71" s="151">
        <f t="shared" ca="1" si="286"/>
        <v>5186089</v>
      </c>
      <c r="AE71" s="188">
        <f t="shared" ca="1" si="287"/>
        <v>62215</v>
      </c>
      <c r="AF71" s="70"/>
      <c r="AG71" s="126">
        <f t="shared" si="258"/>
        <v>1409000</v>
      </c>
      <c r="AH71" s="126"/>
      <c r="AI71" s="97">
        <f t="shared" ca="1" si="288"/>
        <v>1352541</v>
      </c>
      <c r="AJ71" s="97">
        <f t="shared" si="259"/>
        <v>7045000</v>
      </c>
      <c r="AK71" s="151">
        <f t="shared" ca="1" si="289"/>
        <v>6538630</v>
      </c>
      <c r="AL71" s="188">
        <f t="shared" ca="1" si="290"/>
        <v>56459</v>
      </c>
      <c r="AM71" s="70"/>
      <c r="AN71" s="126">
        <f t="shared" si="260"/>
        <v>1409000</v>
      </c>
      <c r="AO71" s="126"/>
      <c r="AP71" s="97">
        <f t="shared" ca="1" si="291"/>
        <v>1309000</v>
      </c>
      <c r="AQ71" s="97">
        <f t="shared" si="261"/>
        <v>8454000</v>
      </c>
      <c r="AR71" s="151">
        <f t="shared" ca="1" si="292"/>
        <v>7847630</v>
      </c>
      <c r="AS71" s="188">
        <f t="shared" ca="1" si="293"/>
        <v>100000</v>
      </c>
      <c r="AT71" s="70"/>
      <c r="AU71" s="126">
        <f t="shared" si="262"/>
        <v>1409000</v>
      </c>
      <c r="AV71" s="126"/>
      <c r="AW71" s="97">
        <f t="shared" ca="1" si="294"/>
        <v>2412437</v>
      </c>
      <c r="AX71" s="126">
        <f t="shared" si="263"/>
        <v>9863000</v>
      </c>
      <c r="AY71" s="151">
        <f t="shared" ca="1" si="295"/>
        <v>10260067</v>
      </c>
      <c r="AZ71" s="188">
        <f t="shared" ca="1" si="296"/>
        <v>-1003437</v>
      </c>
      <c r="BA71" s="144"/>
      <c r="BB71" s="126">
        <f t="shared" si="264"/>
        <v>1409000</v>
      </c>
      <c r="BC71" s="126"/>
      <c r="BD71" s="97">
        <f t="shared" ca="1" si="297"/>
        <v>2115462</v>
      </c>
      <c r="BE71" s="97">
        <f t="shared" si="265"/>
        <v>11272000</v>
      </c>
      <c r="BF71" s="151">
        <f t="shared" ca="1" si="298"/>
        <v>12375529</v>
      </c>
      <c r="BG71" s="188">
        <f t="shared" ca="1" si="299"/>
        <v>-706462</v>
      </c>
      <c r="BH71" s="144"/>
      <c r="BI71" s="126">
        <f t="shared" si="266"/>
        <v>1409000</v>
      </c>
      <c r="BJ71" s="126"/>
      <c r="BK71" s="97">
        <f t="shared" ca="1" si="267"/>
        <v>0</v>
      </c>
      <c r="BL71" s="97">
        <f t="shared" si="268"/>
        <v>12681000</v>
      </c>
      <c r="BM71" s="151">
        <f t="shared" ca="1" si="300"/>
        <v>0</v>
      </c>
      <c r="BN71" s="188">
        <f t="shared" ca="1" si="301"/>
        <v>1409000</v>
      </c>
      <c r="BO71" s="144"/>
      <c r="BP71" s="126">
        <f t="shared" si="269"/>
        <v>1409000</v>
      </c>
      <c r="BQ71" s="126"/>
      <c r="BR71" s="97">
        <f t="shared" ca="1" si="302"/>
        <v>0</v>
      </c>
      <c r="BS71" s="97">
        <f t="shared" si="270"/>
        <v>14090000</v>
      </c>
      <c r="BT71" s="151">
        <f t="shared" ca="1" si="303"/>
        <v>0</v>
      </c>
      <c r="BU71" s="188">
        <f t="shared" ca="1" si="304"/>
        <v>1409000</v>
      </c>
      <c r="BV71" s="144"/>
      <c r="BW71" s="126">
        <f t="shared" si="271"/>
        <v>1409000</v>
      </c>
      <c r="BX71" s="126"/>
      <c r="BY71" s="97">
        <f t="shared" ca="1" si="305"/>
        <v>0</v>
      </c>
      <c r="BZ71" s="97">
        <f t="shared" si="272"/>
        <v>15499000</v>
      </c>
      <c r="CA71" s="151">
        <f t="shared" ca="1" si="306"/>
        <v>0</v>
      </c>
      <c r="CB71" s="188">
        <f t="shared" ca="1" si="307"/>
        <v>1409000</v>
      </c>
      <c r="CC71" s="144"/>
      <c r="CD71" s="126">
        <f t="shared" si="308"/>
        <v>1409000</v>
      </c>
      <c r="CE71" s="126"/>
      <c r="CF71" s="97">
        <f t="shared" ca="1" si="309"/>
        <v>0</v>
      </c>
      <c r="CG71" s="97">
        <f t="shared" si="274"/>
        <v>16908000</v>
      </c>
      <c r="CH71" s="151">
        <f t="shared" ca="1" si="310"/>
        <v>0</v>
      </c>
      <c r="CI71" s="188">
        <f t="shared" ca="1" si="311"/>
        <v>1409000</v>
      </c>
      <c r="CJ71" s="5"/>
      <c r="CK71" s="5"/>
      <c r="CL71" s="5"/>
    </row>
    <row r="72" spans="1:90" s="6" customFormat="1">
      <c r="A72" s="133" t="s">
        <v>420</v>
      </c>
      <c r="B72" s="63">
        <v>51202502</v>
      </c>
      <c r="C72" s="134">
        <f t="shared" ca="1" si="275"/>
        <v>11138504.92</v>
      </c>
      <c r="D72" s="78"/>
      <c r="E72" s="126">
        <f ca="1">$C72/COUNTA(E$1:$CI$1)</f>
        <v>928208.74333333329</v>
      </c>
      <c r="F72" s="126"/>
      <c r="G72" s="104">
        <f ca="1">IFERROR(I72,0)</f>
        <v>0</v>
      </c>
      <c r="H72" s="98">
        <f ca="1">IFERROR(E72,0)</f>
        <v>928208.74333333329</v>
      </c>
      <c r="I72" s="57">
        <f ca="1">IFERROR(IFERROR(VLOOKUP(TEXT($B72,0),INDIRECT("'Balance a "&amp;LEFT(E$1,3)&amp;"'!$B$3:$G$300"),4,0),VLOOKUP(VALUE($B72),INDIRECT("'Balance a "&amp;LEFT(E$1,3)&amp;"'!$B$3:$G$300"),4,0)),0)</f>
        <v>0</v>
      </c>
      <c r="J72" s="188">
        <f ca="1">IFERROR(G72-E72,0)</f>
        <v>-928208.74333333329</v>
      </c>
      <c r="K72" s="70"/>
      <c r="L72" s="126">
        <f t="shared" ca="1" si="312"/>
        <v>928208.74333333329</v>
      </c>
      <c r="M72" s="126"/>
      <c r="N72" s="97">
        <f t="shared" ca="1" si="278"/>
        <v>0</v>
      </c>
      <c r="O72" s="98">
        <f t="shared" ca="1" si="279"/>
        <v>1856417.4866666666</v>
      </c>
      <c r="P72" s="151">
        <f t="shared" ca="1" si="280"/>
        <v>0</v>
      </c>
      <c r="Q72" s="188">
        <f t="shared" ca="1" si="281"/>
        <v>928208.74333333329</v>
      </c>
      <c r="R72" s="70"/>
      <c r="S72" s="126">
        <f t="shared" ca="1" si="254"/>
        <v>928208.74333333329</v>
      </c>
      <c r="T72" s="126"/>
      <c r="U72" s="97">
        <f t="shared" ca="1" si="282"/>
        <v>0</v>
      </c>
      <c r="V72" s="97">
        <f t="shared" ca="1" si="255"/>
        <v>2784626.23</v>
      </c>
      <c r="W72" s="151">
        <f t="shared" ca="1" si="283"/>
        <v>0</v>
      </c>
      <c r="X72" s="188">
        <f t="shared" ca="1" si="284"/>
        <v>928208.74333333329</v>
      </c>
      <c r="Y72" s="70"/>
      <c r="Z72" s="126">
        <f t="shared" ca="1" si="256"/>
        <v>928208.74333333329</v>
      </c>
      <c r="AA72" s="126"/>
      <c r="AB72" s="97">
        <f t="shared" ca="1" si="285"/>
        <v>388151</v>
      </c>
      <c r="AC72" s="97">
        <f t="shared" ca="1" si="257"/>
        <v>3712834.9733333332</v>
      </c>
      <c r="AD72" s="151">
        <f t="shared" ca="1" si="286"/>
        <v>388151</v>
      </c>
      <c r="AE72" s="188">
        <f t="shared" ca="1" si="287"/>
        <v>540057.74333333329</v>
      </c>
      <c r="AF72" s="70"/>
      <c r="AG72" s="126">
        <f t="shared" ca="1" si="258"/>
        <v>928208.74333333329</v>
      </c>
      <c r="AH72" s="126"/>
      <c r="AI72" s="97">
        <f t="shared" ca="1" si="288"/>
        <v>882185</v>
      </c>
      <c r="AJ72" s="97">
        <f t="shared" ca="1" si="259"/>
        <v>4641043.7166666668</v>
      </c>
      <c r="AK72" s="151">
        <f t="shared" ca="1" si="289"/>
        <v>1270336</v>
      </c>
      <c r="AL72" s="188">
        <f t="shared" ca="1" si="290"/>
        <v>46023.743333333288</v>
      </c>
      <c r="AM72" s="70"/>
      <c r="AN72" s="126">
        <f t="shared" ca="1" si="260"/>
        <v>928208.74333333329</v>
      </c>
      <c r="AO72" s="126"/>
      <c r="AP72" s="97">
        <f t="shared" ca="1" si="291"/>
        <v>4298916.46</v>
      </c>
      <c r="AQ72" s="97">
        <f t="shared" ca="1" si="261"/>
        <v>5569252.46</v>
      </c>
      <c r="AR72" s="151">
        <f t="shared" ca="1" si="292"/>
        <v>5569252.46</v>
      </c>
      <c r="AS72" s="188">
        <f t="shared" ca="1" si="293"/>
        <v>-3370707.7166666668</v>
      </c>
      <c r="AT72" s="70"/>
      <c r="AU72" s="126">
        <f t="shared" ca="1" si="262"/>
        <v>928208.74333333329</v>
      </c>
      <c r="AV72" s="126"/>
      <c r="AW72" s="97">
        <f t="shared" ca="1" si="294"/>
        <v>200000</v>
      </c>
      <c r="AX72" s="126">
        <f t="shared" ca="1" si="263"/>
        <v>6497461.2033333331</v>
      </c>
      <c r="AY72" s="151">
        <f t="shared" ca="1" si="295"/>
        <v>5769252.46</v>
      </c>
      <c r="AZ72" s="188">
        <f t="shared" ca="1" si="296"/>
        <v>728208.74333333329</v>
      </c>
      <c r="BA72" s="144"/>
      <c r="BB72" s="126">
        <f t="shared" ca="1" si="264"/>
        <v>928208.74333333329</v>
      </c>
      <c r="BC72" s="126"/>
      <c r="BD72" s="97">
        <f t="shared" ca="1" si="297"/>
        <v>0</v>
      </c>
      <c r="BE72" s="97">
        <f t="shared" ca="1" si="265"/>
        <v>7425669.9466666663</v>
      </c>
      <c r="BF72" s="151">
        <f t="shared" ca="1" si="298"/>
        <v>5769252.46</v>
      </c>
      <c r="BG72" s="188">
        <f t="shared" ca="1" si="299"/>
        <v>928208.74333333329</v>
      </c>
      <c r="BH72" s="144"/>
      <c r="BI72" s="126">
        <f t="shared" ca="1" si="266"/>
        <v>928208.74333333329</v>
      </c>
      <c r="BJ72" s="126"/>
      <c r="BK72" s="97">
        <f t="shared" ca="1" si="267"/>
        <v>0</v>
      </c>
      <c r="BL72" s="97">
        <f t="shared" ca="1" si="268"/>
        <v>8353878.6899999995</v>
      </c>
      <c r="BM72" s="151">
        <f t="shared" ca="1" si="300"/>
        <v>0</v>
      </c>
      <c r="BN72" s="188">
        <f t="shared" ca="1" si="301"/>
        <v>928208.74333333329</v>
      </c>
      <c r="BO72" s="144"/>
      <c r="BP72" s="126">
        <f t="shared" ca="1" si="269"/>
        <v>928208.74333333329</v>
      </c>
      <c r="BQ72" s="126"/>
      <c r="BR72" s="97">
        <f t="shared" ca="1" si="302"/>
        <v>0</v>
      </c>
      <c r="BS72" s="97">
        <f t="shared" ca="1" si="270"/>
        <v>9282087.4333333336</v>
      </c>
      <c r="BT72" s="151">
        <f t="shared" ca="1" si="303"/>
        <v>0</v>
      </c>
      <c r="BU72" s="188">
        <f t="shared" ca="1" si="304"/>
        <v>928208.74333333329</v>
      </c>
      <c r="BV72" s="144"/>
      <c r="BW72" s="126">
        <f t="shared" ca="1" si="271"/>
        <v>928208.74333333329</v>
      </c>
      <c r="BX72" s="126"/>
      <c r="BY72" s="97">
        <f t="shared" ca="1" si="305"/>
        <v>0</v>
      </c>
      <c r="BZ72" s="97">
        <f t="shared" ca="1" si="272"/>
        <v>10210296.176666668</v>
      </c>
      <c r="CA72" s="151">
        <f t="shared" ca="1" si="306"/>
        <v>0</v>
      </c>
      <c r="CB72" s="188">
        <f t="shared" ca="1" si="307"/>
        <v>928208.74333333329</v>
      </c>
      <c r="CC72" s="144"/>
      <c r="CD72" s="126">
        <f t="shared" ca="1" si="308"/>
        <v>928208.74333333329</v>
      </c>
      <c r="CE72" s="126"/>
      <c r="CF72" s="97">
        <f t="shared" ca="1" si="309"/>
        <v>0</v>
      </c>
      <c r="CG72" s="97">
        <f t="shared" ca="1" si="274"/>
        <v>11138504.920000002</v>
      </c>
      <c r="CH72" s="151">
        <f t="shared" ca="1" si="310"/>
        <v>0</v>
      </c>
      <c r="CI72" s="188">
        <f t="shared" ca="1" si="311"/>
        <v>928208.74333333329</v>
      </c>
      <c r="CJ72" s="5"/>
      <c r="CK72" s="5"/>
      <c r="CL72" s="5"/>
    </row>
    <row r="73" spans="1:90" s="6" customFormat="1">
      <c r="A73" s="133" t="s">
        <v>430</v>
      </c>
      <c r="B73" s="63">
        <v>51209501</v>
      </c>
      <c r="C73" s="134">
        <f t="shared" ca="1" si="275"/>
        <v>0</v>
      </c>
      <c r="D73" s="78"/>
      <c r="E73" s="126">
        <f ca="1">$C73/COUNTA(E$1:$CI$1)</f>
        <v>0</v>
      </c>
      <c r="F73" s="126"/>
      <c r="G73" s="104">
        <f ca="1">IFERROR(I73,0)</f>
        <v>0</v>
      </c>
      <c r="H73" s="98">
        <f ca="1">IFERROR(E73,0)</f>
        <v>0</v>
      </c>
      <c r="I73" s="57">
        <f ca="1">IFERROR(IFERROR(VLOOKUP(TEXT($B73,0),INDIRECT("'Balance a "&amp;LEFT(E$1,3)&amp;"'!$B$3:$G$300"),4,0),VLOOKUP(VALUE($B73),INDIRECT("'Balance a "&amp;LEFT(E$1,3)&amp;"'!$B$3:$G$300"),4,0)),0)</f>
        <v>0</v>
      </c>
      <c r="J73" s="188">
        <f ca="1">IFERROR(G73-E73,0)</f>
        <v>0</v>
      </c>
      <c r="K73" s="70"/>
      <c r="L73" s="126">
        <f t="shared" ca="1" si="312"/>
        <v>0</v>
      </c>
      <c r="M73" s="126"/>
      <c r="N73" s="97">
        <f t="shared" ca="1" si="278"/>
        <v>0</v>
      </c>
      <c r="O73" s="98">
        <f t="shared" ca="1" si="279"/>
        <v>0</v>
      </c>
      <c r="P73" s="151">
        <f t="shared" ca="1" si="280"/>
        <v>0</v>
      </c>
      <c r="Q73" s="188">
        <f t="shared" ca="1" si="281"/>
        <v>0</v>
      </c>
      <c r="R73" s="70"/>
      <c r="S73" s="126">
        <f t="shared" ca="1" si="254"/>
        <v>0</v>
      </c>
      <c r="T73" s="126"/>
      <c r="U73" s="97">
        <f t="shared" ca="1" si="282"/>
        <v>0</v>
      </c>
      <c r="V73" s="97">
        <f t="shared" ca="1" si="255"/>
        <v>0</v>
      </c>
      <c r="W73" s="151">
        <f t="shared" ca="1" si="283"/>
        <v>0</v>
      </c>
      <c r="X73" s="188">
        <f t="shared" ca="1" si="284"/>
        <v>0</v>
      </c>
      <c r="Y73" s="70"/>
      <c r="Z73" s="126">
        <f t="shared" ca="1" si="256"/>
        <v>0</v>
      </c>
      <c r="AA73" s="126"/>
      <c r="AB73" s="97">
        <f t="shared" ca="1" si="285"/>
        <v>0</v>
      </c>
      <c r="AC73" s="97">
        <f t="shared" ca="1" si="257"/>
        <v>0</v>
      </c>
      <c r="AD73" s="151">
        <f t="shared" ca="1" si="286"/>
        <v>0</v>
      </c>
      <c r="AE73" s="188">
        <f t="shared" ca="1" si="287"/>
        <v>0</v>
      </c>
      <c r="AF73" s="70"/>
      <c r="AG73" s="126">
        <f t="shared" ca="1" si="258"/>
        <v>0</v>
      </c>
      <c r="AH73" s="126"/>
      <c r="AI73" s="97">
        <f t="shared" ca="1" si="288"/>
        <v>0</v>
      </c>
      <c r="AJ73" s="97">
        <f t="shared" ca="1" si="259"/>
        <v>0</v>
      </c>
      <c r="AK73" s="151">
        <f t="shared" ca="1" si="289"/>
        <v>0</v>
      </c>
      <c r="AL73" s="188">
        <f t="shared" ca="1" si="290"/>
        <v>0</v>
      </c>
      <c r="AM73" s="70"/>
      <c r="AN73" s="126">
        <f t="shared" ca="1" si="260"/>
        <v>0</v>
      </c>
      <c r="AO73" s="126"/>
      <c r="AP73" s="97">
        <f t="shared" ca="1" si="291"/>
        <v>0</v>
      </c>
      <c r="AQ73" s="97">
        <f t="shared" ca="1" si="261"/>
        <v>0</v>
      </c>
      <c r="AR73" s="151">
        <f t="shared" ca="1" si="292"/>
        <v>0</v>
      </c>
      <c r="AS73" s="188">
        <f t="shared" ca="1" si="293"/>
        <v>0</v>
      </c>
      <c r="AT73" s="70"/>
      <c r="AU73" s="126">
        <f t="shared" ca="1" si="262"/>
        <v>0</v>
      </c>
      <c r="AV73" s="126"/>
      <c r="AW73" s="97">
        <f t="shared" ca="1" si="294"/>
        <v>0</v>
      </c>
      <c r="AX73" s="126">
        <f t="shared" ca="1" si="263"/>
        <v>0</v>
      </c>
      <c r="AY73" s="151">
        <f t="shared" ca="1" si="295"/>
        <v>0</v>
      </c>
      <c r="AZ73" s="188">
        <f t="shared" ca="1" si="296"/>
        <v>0</v>
      </c>
      <c r="BA73" s="144"/>
      <c r="BB73" s="126">
        <f t="shared" ca="1" si="264"/>
        <v>0</v>
      </c>
      <c r="BC73" s="126"/>
      <c r="BD73" s="97">
        <f t="shared" ca="1" si="297"/>
        <v>0</v>
      </c>
      <c r="BE73" s="97">
        <f t="shared" ca="1" si="265"/>
        <v>0</v>
      </c>
      <c r="BF73" s="151">
        <f t="shared" ca="1" si="298"/>
        <v>0</v>
      </c>
      <c r="BG73" s="188">
        <f t="shared" ca="1" si="299"/>
        <v>0</v>
      </c>
      <c r="BH73" s="144"/>
      <c r="BI73" s="126">
        <f t="shared" ca="1" si="266"/>
        <v>0</v>
      </c>
      <c r="BJ73" s="126"/>
      <c r="BK73" s="97">
        <f t="shared" ca="1" si="267"/>
        <v>0</v>
      </c>
      <c r="BL73" s="97">
        <f t="shared" ca="1" si="268"/>
        <v>0</v>
      </c>
      <c r="BM73" s="151">
        <f t="shared" ca="1" si="300"/>
        <v>0</v>
      </c>
      <c r="BN73" s="188">
        <f t="shared" ca="1" si="301"/>
        <v>0</v>
      </c>
      <c r="BO73" s="144"/>
      <c r="BP73" s="126">
        <f t="shared" ca="1" si="269"/>
        <v>0</v>
      </c>
      <c r="BQ73" s="126"/>
      <c r="BR73" s="97">
        <f t="shared" ca="1" si="302"/>
        <v>0</v>
      </c>
      <c r="BS73" s="97">
        <f t="shared" ca="1" si="270"/>
        <v>0</v>
      </c>
      <c r="BT73" s="151">
        <f t="shared" ca="1" si="303"/>
        <v>0</v>
      </c>
      <c r="BU73" s="188">
        <f t="shared" ca="1" si="304"/>
        <v>0</v>
      </c>
      <c r="BV73" s="144"/>
      <c r="BW73" s="126">
        <f t="shared" ca="1" si="271"/>
        <v>0</v>
      </c>
      <c r="BX73" s="126"/>
      <c r="BY73" s="97">
        <f t="shared" ca="1" si="305"/>
        <v>0</v>
      </c>
      <c r="BZ73" s="97">
        <f t="shared" ca="1" si="272"/>
        <v>0</v>
      </c>
      <c r="CA73" s="151">
        <f t="shared" ca="1" si="306"/>
        <v>0</v>
      </c>
      <c r="CB73" s="188">
        <f t="shared" ca="1" si="307"/>
        <v>0</v>
      </c>
      <c r="CC73" s="144"/>
      <c r="CD73" s="126">
        <f t="shared" ca="1" si="308"/>
        <v>0</v>
      </c>
      <c r="CE73" s="126"/>
      <c r="CF73" s="97">
        <f t="shared" ca="1" si="309"/>
        <v>0</v>
      </c>
      <c r="CG73" s="97">
        <f t="shared" ca="1" si="274"/>
        <v>0</v>
      </c>
      <c r="CH73" s="151">
        <f t="shared" ca="1" si="310"/>
        <v>0</v>
      </c>
      <c r="CI73" s="188">
        <f t="shared" ca="1" si="311"/>
        <v>0</v>
      </c>
      <c r="CJ73" s="5"/>
      <c r="CK73" s="5"/>
      <c r="CL73" s="5"/>
    </row>
    <row r="74" spans="1:90" s="6" customFormat="1">
      <c r="A74" s="133" t="s">
        <v>562</v>
      </c>
      <c r="B74" s="63">
        <v>51301001</v>
      </c>
      <c r="C74" s="134">
        <f t="shared" ca="1" si="275"/>
        <v>168066</v>
      </c>
      <c r="D74" s="78"/>
      <c r="E74" s="126">
        <v>0</v>
      </c>
      <c r="F74" s="126"/>
      <c r="G74" s="104">
        <f ca="1">IFERROR(I74,0)</f>
        <v>0</v>
      </c>
      <c r="H74" s="98">
        <f>IFERROR(E74,0)</f>
        <v>0</v>
      </c>
      <c r="I74" s="57">
        <f ca="1">IFERROR(IFERROR(VLOOKUP(TEXT($B74,0),INDIRECT("'Balance a "&amp;LEFT(E$1,3)&amp;"'!$B$3:$G$300"),4,0),VLOOKUP(VALUE($B74),INDIRECT("'Balance a "&amp;LEFT(E$1,3)&amp;"'!$B$3:$G$300"),4,0)),0)</f>
        <v>0</v>
      </c>
      <c r="J74" s="188">
        <f ca="1">IFERROR(G74-E74,0)</f>
        <v>0</v>
      </c>
      <c r="K74" s="70"/>
      <c r="L74" s="126">
        <f t="shared" ref="L74" si="428">E74+F74</f>
        <v>0</v>
      </c>
      <c r="M74" s="126"/>
      <c r="N74" s="97">
        <f t="shared" ref="N74" ca="1" si="429">IFERROR(P74-I74,0)</f>
        <v>0</v>
      </c>
      <c r="O74" s="98">
        <f t="shared" ref="O74" si="430">SUM(E74:F74,L74:M74)</f>
        <v>0</v>
      </c>
      <c r="P74" s="151">
        <f t="shared" ref="P74" ca="1" si="431">IFERROR(IFERROR(VLOOKUP(TEXT($B74,0),INDIRECT("'Balance a "&amp;LEFT(L$1,3)&amp;"'!$B$3:$G$300"),6,0),VLOOKUP(VALUE($B74),INDIRECT("'Balance a "&amp;LEFT(L$1,3)&amp;"'!$B$3:$G$300"),6,0)),0)</f>
        <v>0</v>
      </c>
      <c r="Q74" s="188">
        <f t="shared" ref="Q74" ca="1" si="432">IFERROR(SUM(L74:M74)-N74,0)</f>
        <v>0</v>
      </c>
      <c r="R74" s="70"/>
      <c r="S74" s="126">
        <f t="shared" ref="S74" si="433">L74+M74</f>
        <v>0</v>
      </c>
      <c r="T74" s="126"/>
      <c r="U74" s="97">
        <f t="shared" ref="U74" ca="1" si="434">IFERROR(W74-P74,0)</f>
        <v>0</v>
      </c>
      <c r="V74" s="97">
        <f t="shared" ref="V74" si="435">SUM(E74:F74,L74:M74,S74:T74)</f>
        <v>0</v>
      </c>
      <c r="W74" s="151">
        <f t="shared" ref="W74" ca="1" si="436">IFERROR(IFERROR(VLOOKUP(TEXT($B74,0),INDIRECT("'Balance a "&amp;LEFT(S$1,3)&amp;"'!$B$3:$G$300"),6,0),VLOOKUP(VALUE($B74),INDIRECT("'Balance a "&amp;LEFT(S$1,3)&amp;"'!$B$3:$G$300"),6,0)),0)</f>
        <v>0</v>
      </c>
      <c r="X74" s="188">
        <f t="shared" ref="X74" ca="1" si="437">IFERROR(SUM(S74:T74)-U74,0)</f>
        <v>0</v>
      </c>
      <c r="Y74" s="70"/>
      <c r="Z74" s="126">
        <f t="shared" ref="Z74" si="438">S74+T74</f>
        <v>0</v>
      </c>
      <c r="AA74" s="126"/>
      <c r="AB74" s="97">
        <f t="shared" ref="AB74" ca="1" si="439">IFERROR(AD74-W74,0)</f>
        <v>0</v>
      </c>
      <c r="AC74" s="97">
        <f t="shared" ref="AC74" si="440">SUM(E74:F74,L74:M74,S74:T74,Z74:AA74)</f>
        <v>0</v>
      </c>
      <c r="AD74" s="151">
        <f t="shared" ref="AD74" ca="1" si="441">IFERROR(IFERROR(VLOOKUP(TEXT($B74,0),INDIRECT("'Balance a "&amp;LEFT(Z$1,3)&amp;"'!$B$3:$G$300"),6,0),VLOOKUP(VALUE($B74),INDIRECT("'Balance a "&amp;LEFT(Z$1,3)&amp;"'!$B$3:$G$300"),6,0)),0)</f>
        <v>0</v>
      </c>
      <c r="AE74" s="188">
        <f t="shared" ref="AE74" ca="1" si="442">IFERROR(SUM(Z74:AA74)-AB74,0)</f>
        <v>0</v>
      </c>
      <c r="AF74" s="70"/>
      <c r="AG74" s="126">
        <v>84033</v>
      </c>
      <c r="AH74" s="126"/>
      <c r="AI74" s="97">
        <f t="shared" ref="AI74" ca="1" si="443">IFERROR(AK74-AD74,0)</f>
        <v>84033</v>
      </c>
      <c r="AJ74" s="97">
        <f t="shared" ref="AJ74" si="444">SUM(E74:F74,L74:M74,S74:T74,Z74:AA74,AG74:AH74)</f>
        <v>84033</v>
      </c>
      <c r="AK74" s="151">
        <f t="shared" ref="AK74" ca="1" si="445">IFERROR(IFERROR(VLOOKUP(TEXT($B74,0),INDIRECT("'Balance a "&amp;LEFT(AG$1,3)&amp;"'!$B$3:$G$300"),6,0),VLOOKUP(VALUE($B74),INDIRECT("'Balance a "&amp;LEFT(AG$1,3)&amp;"'!$B$3:$G$300"),6,0)),0)</f>
        <v>84033</v>
      </c>
      <c r="AL74" s="188">
        <f t="shared" ref="AL74" ca="1" si="446">IFERROR(SUM(AG74:AH74)-AI74,0)</f>
        <v>0</v>
      </c>
      <c r="AM74" s="70"/>
      <c r="AN74" s="126">
        <v>0</v>
      </c>
      <c r="AO74" s="126"/>
      <c r="AP74" s="97">
        <f t="shared" ref="AP74" ca="1" si="447">IFERROR(AR74-AK74,0)</f>
        <v>0</v>
      </c>
      <c r="AQ74" s="97">
        <f t="shared" ref="AQ74" si="448">SUM(E74:F74,L74:M74,S74:T74,Z74:AA74,AG74:AH74,AN74:AO74)</f>
        <v>84033</v>
      </c>
      <c r="AR74" s="151">
        <f t="shared" ref="AR74" ca="1" si="449">IFERROR(IFERROR(VLOOKUP(TEXT($B74,0),INDIRECT("'Balance a "&amp;LEFT(AN$1,3)&amp;"'!$B$3:$G$300"),6,0),VLOOKUP(VALUE($B74),INDIRECT("'Balance a "&amp;LEFT(AN$1,3)&amp;"'!$B$3:$G$300"),6,0)),0)</f>
        <v>84033</v>
      </c>
      <c r="AS74" s="188">
        <f t="shared" ref="AS74" ca="1" si="450">IFERROR(SUM(AN74:AO74)-AP74,0)</f>
        <v>0</v>
      </c>
      <c r="AT74" s="70"/>
      <c r="AU74" s="126">
        <f t="shared" ref="AU74" si="451">AN74+AO74</f>
        <v>0</v>
      </c>
      <c r="AV74" s="126"/>
      <c r="AW74" s="97">
        <f t="shared" ref="AW74" ca="1" si="452">IFERROR(AY74-AR74,0)</f>
        <v>0</v>
      </c>
      <c r="AX74" s="126">
        <f t="shared" ref="AX74" si="453">SUM(E74:F74,L74:M74,S74:T74,Z74:AA74,AG74:AH74,AN74:AO74,AU74:AV74)</f>
        <v>84033</v>
      </c>
      <c r="AY74" s="151">
        <f t="shared" ref="AY74" ca="1" si="454">IFERROR(IFERROR(VLOOKUP(TEXT($B74,0),INDIRECT("'Balance a "&amp;LEFT(AU$1,3)&amp;"'!$B$3:$G$300"),6,0),VLOOKUP(VALUE($B74),INDIRECT("'Balance a "&amp;LEFT(AU$1,3)&amp;"'!$B$3:$G$300"),6,0)),0)</f>
        <v>84033</v>
      </c>
      <c r="AZ74" s="188">
        <f t="shared" ref="AZ74" ca="1" si="455">IFERROR(SUM(AU74:AV74)-AW74,0)</f>
        <v>0</v>
      </c>
      <c r="BA74" s="144"/>
      <c r="BB74" s="126">
        <f t="shared" ref="BB74" si="456">AU74+AV74</f>
        <v>0</v>
      </c>
      <c r="BC74" s="126"/>
      <c r="BD74" s="97">
        <f t="shared" ref="BD74" ca="1" si="457">IFERROR(BF74-AY74,0)</f>
        <v>0</v>
      </c>
      <c r="BE74" s="97">
        <f t="shared" ref="BE74" si="458">SUM(E74:F74,L74:M74,S74:T74,Z74:AA74,AG74:AH74,AN74:AO74,AU74:AV74,BB74:BC74)</f>
        <v>84033</v>
      </c>
      <c r="BF74" s="151">
        <f t="shared" ref="BF74" ca="1" si="459">IFERROR(IFERROR(VLOOKUP(TEXT($B74,0),INDIRECT("'Balance a "&amp;LEFT(BB$1,3)&amp;"'!$B$3:$G$300"),6,0),VLOOKUP(VALUE($B74),INDIRECT("'Balance a "&amp;LEFT(BB$1,3)&amp;"'!$B$3:$G$300"),6,0)),0)</f>
        <v>84033</v>
      </c>
      <c r="BG74" s="188">
        <f t="shared" ref="BG74" ca="1" si="460">IFERROR(SUM(BB74:BC74)-BD74,0)</f>
        <v>0</v>
      </c>
      <c r="BH74" s="144"/>
      <c r="BI74" s="126">
        <f t="shared" ref="BI74" si="461">BB74+BC74</f>
        <v>0</v>
      </c>
      <c r="BJ74" s="126"/>
      <c r="BK74" s="97">
        <f t="shared" ca="1" si="267"/>
        <v>0</v>
      </c>
      <c r="BL74" s="97">
        <f t="shared" ref="BL74" si="462">SUM(E74:F74,L74:M74,S74:T74,Z74:AA74,AG74:AH74,AN74:AO74,AU74:AV74,BB74:BC74,BI74:BJ74)</f>
        <v>84033</v>
      </c>
      <c r="BM74" s="151">
        <f t="shared" ref="BM74" ca="1" si="463">IFERROR(IFERROR(VLOOKUP(TEXT($B74,0),INDIRECT("'Balance a "&amp;LEFT(BI$1,3)&amp;"'!$B$3:$G$300"),6,0),VLOOKUP(VALUE($B74),INDIRECT("'Balance a "&amp;LEFT(BI$1,3)&amp;"'!$B$3:$G$300"),6,0)),0)</f>
        <v>0</v>
      </c>
      <c r="BN74" s="188">
        <f t="shared" ref="BN74" ca="1" si="464">IFERROR(SUM(BI74:BJ74)-BK74,0)</f>
        <v>0</v>
      </c>
      <c r="BO74" s="144"/>
      <c r="BP74" s="126">
        <f t="shared" ref="BP74" si="465">BI74+BJ74</f>
        <v>0</v>
      </c>
      <c r="BQ74" s="126"/>
      <c r="BR74" s="97">
        <f t="shared" ref="BR74" ca="1" si="466">IFERROR(BT74-BM74,0)</f>
        <v>0</v>
      </c>
      <c r="BS74" s="97">
        <f t="shared" ref="BS74" si="467">SUM(E74:F74,L74:M74,S74:T74,Z74:AA74,AG74:AH74,AN74:AO74,AU74:AV74,BB74:BC74,BI74:BJ74,BP74:BQ74)</f>
        <v>84033</v>
      </c>
      <c r="BT74" s="151">
        <f t="shared" ref="BT74" ca="1" si="468">IFERROR(IFERROR(VLOOKUP(TEXT($B74,0),INDIRECT("'Balance a "&amp;LEFT(BP$1,3)&amp;"'!$B$3:$G$300"),6,0),VLOOKUP(VALUE($B74),INDIRECT("'Balance a "&amp;LEFT(BP$1,3)&amp;"'!$B$3:$G$300"),6,0)),0)</f>
        <v>0</v>
      </c>
      <c r="BU74" s="188">
        <f t="shared" ref="BU74" ca="1" si="469">IFERROR(SUM(BP74:BQ74)-BR74,0)</f>
        <v>0</v>
      </c>
      <c r="BV74" s="144"/>
      <c r="BW74" s="126">
        <f t="shared" ref="BW74" si="470">BP74+BQ74</f>
        <v>0</v>
      </c>
      <c r="BX74" s="126"/>
      <c r="BY74" s="97">
        <f t="shared" ref="BY74" ca="1" si="471">IFERROR(CA74-BT74,0)</f>
        <v>0</v>
      </c>
      <c r="BZ74" s="97">
        <f t="shared" ref="BZ74" si="472">SUM(E74:F74,L74:M74,S74:T74,Z74:AA74,AG74:AH74,AN74:AO74,AU74:AV74,BB74:BC74,BI74:BJ74,BP74:BQ74,BW74:BX74)</f>
        <v>84033</v>
      </c>
      <c r="CA74" s="151">
        <f t="shared" ref="CA74" ca="1" si="473">IFERROR(IFERROR(VLOOKUP(TEXT($B74,0),INDIRECT("'Balance a "&amp;LEFT(BW$1,3)&amp;"'!$B$3:$G$300"),6,0),VLOOKUP(VALUE($B74),INDIRECT("'Balance a "&amp;LEFT(BW$1,3)&amp;"'!$B$3:$G$300"),6,0)),0)</f>
        <v>0</v>
      </c>
      <c r="CB74" s="188">
        <f t="shared" ref="CB74" ca="1" si="474">IFERROR(SUM(BW74:BX74)-BY74,0)</f>
        <v>0</v>
      </c>
      <c r="CC74" s="144"/>
      <c r="CD74" s="126">
        <f t="shared" ref="CD74" si="475">BW74+BX74</f>
        <v>0</v>
      </c>
      <c r="CE74" s="126"/>
      <c r="CF74" s="97">
        <f t="shared" ref="CF74" ca="1" si="476">IFERROR(CH74-CA74,0)</f>
        <v>0</v>
      </c>
      <c r="CG74" s="97">
        <f t="shared" ref="CG74" si="477">SUM(E74:F74,L74:M74,S74:T74,Z74:AA74,AG74:AH74,AN74:AO74,AU74:AV74,BB74:BC74,BI74:BJ74,BP74:BQ74,BW74:BX74,CD74:CE74)</f>
        <v>84033</v>
      </c>
      <c r="CH74" s="151">
        <f t="shared" ref="CH74" ca="1" si="478">IFERROR(IFERROR(VLOOKUP(TEXT($B74,0),INDIRECT("'Balance a "&amp;LEFT(CD$1,3)&amp;"'!$B$3:$G$300"),6,0),VLOOKUP(VALUE($B74),INDIRECT("'Balance a "&amp;LEFT(CD$1,3)&amp;"'!$B$3:$G$300"),6,0)),0)</f>
        <v>0</v>
      </c>
      <c r="CI74" s="188">
        <f t="shared" ref="CI74" ca="1" si="479">IFERROR(SUM(CD74:CE74)-CF74,0)</f>
        <v>0</v>
      </c>
      <c r="CJ74" s="5"/>
      <c r="CK74" s="5"/>
      <c r="CL74" s="5"/>
    </row>
    <row r="75" spans="1:90" s="6" customFormat="1">
      <c r="A75" s="207" t="s">
        <v>137</v>
      </c>
      <c r="B75" s="62">
        <v>51304001</v>
      </c>
      <c r="C75" s="134">
        <f t="shared" ca="1" si="275"/>
        <v>4968796</v>
      </c>
      <c r="D75" s="78"/>
      <c r="E75" s="126">
        <f ca="1">$C75/COUNTA(E$1:$CI$1)</f>
        <v>414066.33333333331</v>
      </c>
      <c r="F75" s="126"/>
      <c r="G75" s="104">
        <f t="shared" ca="1" si="251"/>
        <v>0</v>
      </c>
      <c r="H75" s="98">
        <f t="shared" ca="1" si="276"/>
        <v>414066.33333333331</v>
      </c>
      <c r="I75" s="57">
        <f t="shared" ca="1" si="252"/>
        <v>0</v>
      </c>
      <c r="J75" s="188">
        <f t="shared" ca="1" si="277"/>
        <v>-414066.33333333331</v>
      </c>
      <c r="K75" s="70"/>
      <c r="L75" s="126">
        <f t="shared" ca="1" si="312"/>
        <v>414066.33333333331</v>
      </c>
      <c r="M75" s="126"/>
      <c r="N75" s="97">
        <f t="shared" ca="1" si="278"/>
        <v>0</v>
      </c>
      <c r="O75" s="98">
        <f t="shared" ca="1" si="279"/>
        <v>828132.66666666663</v>
      </c>
      <c r="P75" s="151">
        <f t="shared" ca="1" si="280"/>
        <v>0</v>
      </c>
      <c r="Q75" s="188">
        <f t="shared" ca="1" si="281"/>
        <v>414066.33333333331</v>
      </c>
      <c r="R75" s="70"/>
      <c r="S75" s="126">
        <f t="shared" ca="1" si="254"/>
        <v>414066.33333333331</v>
      </c>
      <c r="T75" s="126"/>
      <c r="U75" s="97">
        <f t="shared" ca="1" si="282"/>
        <v>2484398</v>
      </c>
      <c r="V75" s="97">
        <f t="shared" ca="1" si="255"/>
        <v>1242199</v>
      </c>
      <c r="W75" s="151">
        <f t="shared" ca="1" si="283"/>
        <v>2484398</v>
      </c>
      <c r="X75" s="188">
        <f t="shared" ca="1" si="284"/>
        <v>-2070331.6666666667</v>
      </c>
      <c r="Y75" s="70"/>
      <c r="Z75" s="126">
        <f t="shared" ca="1" si="256"/>
        <v>414066.33333333331</v>
      </c>
      <c r="AA75" s="126"/>
      <c r="AB75" s="97">
        <f t="shared" ca="1" si="285"/>
        <v>0</v>
      </c>
      <c r="AC75" s="97">
        <f t="shared" ca="1" si="257"/>
        <v>1656265.3333333333</v>
      </c>
      <c r="AD75" s="151">
        <f t="shared" ca="1" si="286"/>
        <v>2484398</v>
      </c>
      <c r="AE75" s="188">
        <f t="shared" ca="1" si="287"/>
        <v>414066.33333333331</v>
      </c>
      <c r="AF75" s="70"/>
      <c r="AG75" s="126">
        <f t="shared" ca="1" si="258"/>
        <v>414066.33333333331</v>
      </c>
      <c r="AH75" s="126"/>
      <c r="AI75" s="97">
        <f t="shared" ca="1" si="288"/>
        <v>0</v>
      </c>
      <c r="AJ75" s="97">
        <f t="shared" ca="1" si="259"/>
        <v>2070331.6666666665</v>
      </c>
      <c r="AK75" s="151">
        <f t="shared" ca="1" si="289"/>
        <v>2484398</v>
      </c>
      <c r="AL75" s="188">
        <f t="shared" ca="1" si="290"/>
        <v>414066.33333333331</v>
      </c>
      <c r="AM75" s="70"/>
      <c r="AN75" s="126">
        <f t="shared" ca="1" si="260"/>
        <v>414066.33333333331</v>
      </c>
      <c r="AO75" s="126"/>
      <c r="AP75" s="97">
        <f t="shared" ca="1" si="291"/>
        <v>0</v>
      </c>
      <c r="AQ75" s="97">
        <f t="shared" ca="1" si="261"/>
        <v>2484398</v>
      </c>
      <c r="AR75" s="151">
        <f t="shared" ca="1" si="292"/>
        <v>2484398</v>
      </c>
      <c r="AS75" s="188">
        <f t="shared" ca="1" si="293"/>
        <v>414066.33333333331</v>
      </c>
      <c r="AT75" s="70"/>
      <c r="AU75" s="126">
        <f t="shared" ca="1" si="262"/>
        <v>414066.33333333331</v>
      </c>
      <c r="AV75" s="126"/>
      <c r="AW75" s="97">
        <f t="shared" ca="1" si="294"/>
        <v>1887460</v>
      </c>
      <c r="AX75" s="126">
        <f t="shared" ca="1" si="263"/>
        <v>2898464.3333333335</v>
      </c>
      <c r="AY75" s="151">
        <f t="shared" ca="1" si="295"/>
        <v>4371858</v>
      </c>
      <c r="AZ75" s="188">
        <f t="shared" ca="1" si="296"/>
        <v>-1473393.6666666667</v>
      </c>
      <c r="BA75" s="144"/>
      <c r="BB75" s="126">
        <f t="shared" ca="1" si="264"/>
        <v>414066.33333333331</v>
      </c>
      <c r="BC75" s="126"/>
      <c r="BD75" s="97">
        <f t="shared" ca="1" si="297"/>
        <v>0</v>
      </c>
      <c r="BE75" s="97">
        <f t="shared" ca="1" si="265"/>
        <v>3312530.666666667</v>
      </c>
      <c r="BF75" s="151">
        <f t="shared" ca="1" si="298"/>
        <v>4371858</v>
      </c>
      <c r="BG75" s="188">
        <f t="shared" ca="1" si="299"/>
        <v>414066.33333333331</v>
      </c>
      <c r="BH75" s="144"/>
      <c r="BI75" s="126">
        <f t="shared" ca="1" si="266"/>
        <v>414066.33333333331</v>
      </c>
      <c r="BJ75" s="126"/>
      <c r="BK75" s="97">
        <f t="shared" ref="BK75:BK106" ca="1" si="480">IFERROR(IF(BM75=0,0,BM75-BF75),0)</f>
        <v>0</v>
      </c>
      <c r="BL75" s="97">
        <f t="shared" ca="1" si="268"/>
        <v>3726597.0000000005</v>
      </c>
      <c r="BM75" s="151">
        <f t="shared" ca="1" si="300"/>
        <v>0</v>
      </c>
      <c r="BN75" s="188">
        <f t="shared" ca="1" si="301"/>
        <v>414066.33333333331</v>
      </c>
      <c r="BO75" s="144"/>
      <c r="BP75" s="126">
        <f t="shared" ca="1" si="269"/>
        <v>414066.33333333331</v>
      </c>
      <c r="BQ75" s="126"/>
      <c r="BR75" s="97">
        <f t="shared" ca="1" si="302"/>
        <v>0</v>
      </c>
      <c r="BS75" s="97">
        <f t="shared" ca="1" si="270"/>
        <v>4140663.333333334</v>
      </c>
      <c r="BT75" s="151">
        <f t="shared" ca="1" si="303"/>
        <v>0</v>
      </c>
      <c r="BU75" s="188">
        <f t="shared" ca="1" si="304"/>
        <v>414066.33333333331</v>
      </c>
      <c r="BV75" s="144"/>
      <c r="BW75" s="126">
        <f t="shared" ca="1" si="271"/>
        <v>414066.33333333331</v>
      </c>
      <c r="BX75" s="126"/>
      <c r="BY75" s="97">
        <f t="shared" ca="1" si="305"/>
        <v>0</v>
      </c>
      <c r="BZ75" s="97">
        <f t="shared" ca="1" si="272"/>
        <v>4554729.666666667</v>
      </c>
      <c r="CA75" s="151">
        <f t="shared" ca="1" si="306"/>
        <v>0</v>
      </c>
      <c r="CB75" s="188">
        <f t="shared" ca="1" si="307"/>
        <v>414066.33333333331</v>
      </c>
      <c r="CC75" s="144"/>
      <c r="CD75" s="126">
        <f t="shared" ca="1" si="308"/>
        <v>414066.33333333331</v>
      </c>
      <c r="CE75" s="126"/>
      <c r="CF75" s="97">
        <f t="shared" ca="1" si="309"/>
        <v>0</v>
      </c>
      <c r="CG75" s="97">
        <f t="shared" ca="1" si="274"/>
        <v>4968796</v>
      </c>
      <c r="CH75" s="151">
        <f t="shared" ca="1" si="310"/>
        <v>0</v>
      </c>
      <c r="CI75" s="188">
        <f t="shared" ca="1" si="311"/>
        <v>414066.33333333331</v>
      </c>
      <c r="CJ75" s="5"/>
      <c r="CK75" s="5"/>
      <c r="CL75" s="5"/>
    </row>
    <row r="76" spans="1:90" s="6" customFormat="1">
      <c r="A76" s="133" t="s">
        <v>138</v>
      </c>
      <c r="B76" s="63">
        <v>51309501</v>
      </c>
      <c r="C76" s="134">
        <f t="shared" ca="1" si="275"/>
        <v>0</v>
      </c>
      <c r="D76" s="78"/>
      <c r="E76" s="126">
        <f ca="1">$C76/COUNTA(E$1:$CI$1)</f>
        <v>0</v>
      </c>
      <c r="F76" s="126"/>
      <c r="G76" s="104">
        <f t="shared" ca="1" si="251"/>
        <v>0</v>
      </c>
      <c r="H76" s="98">
        <f t="shared" ca="1" si="276"/>
        <v>0</v>
      </c>
      <c r="I76" s="57">
        <f t="shared" ca="1" si="252"/>
        <v>0</v>
      </c>
      <c r="J76" s="188">
        <f t="shared" ca="1" si="277"/>
        <v>0</v>
      </c>
      <c r="K76" s="70"/>
      <c r="L76" s="126">
        <f t="shared" ca="1" si="312"/>
        <v>0</v>
      </c>
      <c r="M76" s="126"/>
      <c r="N76" s="97">
        <f t="shared" ca="1" si="278"/>
        <v>0</v>
      </c>
      <c r="O76" s="98">
        <f t="shared" ca="1" si="279"/>
        <v>0</v>
      </c>
      <c r="P76" s="151">
        <f t="shared" ca="1" si="280"/>
        <v>0</v>
      </c>
      <c r="Q76" s="188">
        <f t="shared" ca="1" si="281"/>
        <v>0</v>
      </c>
      <c r="R76" s="70"/>
      <c r="S76" s="126">
        <f t="shared" ca="1" si="254"/>
        <v>0</v>
      </c>
      <c r="T76" s="126"/>
      <c r="U76" s="97">
        <f t="shared" ca="1" si="282"/>
        <v>0</v>
      </c>
      <c r="V76" s="97">
        <f t="shared" ca="1" si="255"/>
        <v>0</v>
      </c>
      <c r="W76" s="151">
        <f t="shared" ca="1" si="283"/>
        <v>0</v>
      </c>
      <c r="X76" s="188">
        <f t="shared" ca="1" si="284"/>
        <v>0</v>
      </c>
      <c r="Y76" s="70"/>
      <c r="Z76" s="126">
        <f t="shared" ca="1" si="256"/>
        <v>0</v>
      </c>
      <c r="AA76" s="126"/>
      <c r="AB76" s="97">
        <f t="shared" ca="1" si="285"/>
        <v>0</v>
      </c>
      <c r="AC76" s="97">
        <f t="shared" ca="1" si="257"/>
        <v>0</v>
      </c>
      <c r="AD76" s="151">
        <f t="shared" ca="1" si="286"/>
        <v>0</v>
      </c>
      <c r="AE76" s="188">
        <f t="shared" ca="1" si="287"/>
        <v>0</v>
      </c>
      <c r="AF76" s="70"/>
      <c r="AG76" s="126">
        <f t="shared" ca="1" si="258"/>
        <v>0</v>
      </c>
      <c r="AH76" s="126"/>
      <c r="AI76" s="97">
        <f t="shared" ca="1" si="288"/>
        <v>0</v>
      </c>
      <c r="AJ76" s="97">
        <f t="shared" ca="1" si="259"/>
        <v>0</v>
      </c>
      <c r="AK76" s="151">
        <f t="shared" ca="1" si="289"/>
        <v>0</v>
      </c>
      <c r="AL76" s="188">
        <f t="shared" ca="1" si="290"/>
        <v>0</v>
      </c>
      <c r="AM76" s="70"/>
      <c r="AN76" s="126">
        <f t="shared" ca="1" si="260"/>
        <v>0</v>
      </c>
      <c r="AO76" s="126"/>
      <c r="AP76" s="97">
        <f t="shared" ca="1" si="291"/>
        <v>0</v>
      </c>
      <c r="AQ76" s="97">
        <f t="shared" ca="1" si="261"/>
        <v>0</v>
      </c>
      <c r="AR76" s="151">
        <f t="shared" ca="1" si="292"/>
        <v>0</v>
      </c>
      <c r="AS76" s="188">
        <f t="shared" ca="1" si="293"/>
        <v>0</v>
      </c>
      <c r="AT76" s="70"/>
      <c r="AU76" s="126">
        <f t="shared" ca="1" si="262"/>
        <v>0</v>
      </c>
      <c r="AV76" s="126"/>
      <c r="AW76" s="97">
        <f t="shared" ca="1" si="294"/>
        <v>0</v>
      </c>
      <c r="AX76" s="126">
        <f t="shared" ca="1" si="263"/>
        <v>0</v>
      </c>
      <c r="AY76" s="151">
        <f t="shared" ca="1" si="295"/>
        <v>0</v>
      </c>
      <c r="AZ76" s="188">
        <f t="shared" ca="1" si="296"/>
        <v>0</v>
      </c>
      <c r="BA76" s="144"/>
      <c r="BB76" s="126">
        <f t="shared" ca="1" si="264"/>
        <v>0</v>
      </c>
      <c r="BC76" s="126"/>
      <c r="BD76" s="97">
        <f t="shared" ca="1" si="297"/>
        <v>0</v>
      </c>
      <c r="BE76" s="97">
        <f t="shared" ca="1" si="265"/>
        <v>0</v>
      </c>
      <c r="BF76" s="151">
        <f t="shared" ca="1" si="298"/>
        <v>0</v>
      </c>
      <c r="BG76" s="188">
        <f t="shared" ca="1" si="299"/>
        <v>0</v>
      </c>
      <c r="BH76" s="144"/>
      <c r="BI76" s="126">
        <f t="shared" ca="1" si="266"/>
        <v>0</v>
      </c>
      <c r="BJ76" s="126"/>
      <c r="BK76" s="97">
        <f t="shared" ca="1" si="480"/>
        <v>0</v>
      </c>
      <c r="BL76" s="97">
        <f t="shared" ca="1" si="268"/>
        <v>0</v>
      </c>
      <c r="BM76" s="151">
        <f t="shared" ca="1" si="300"/>
        <v>0</v>
      </c>
      <c r="BN76" s="188">
        <f t="shared" ca="1" si="301"/>
        <v>0</v>
      </c>
      <c r="BO76" s="144"/>
      <c r="BP76" s="126">
        <f t="shared" ca="1" si="269"/>
        <v>0</v>
      </c>
      <c r="BQ76" s="126"/>
      <c r="BR76" s="97">
        <f t="shared" ca="1" si="302"/>
        <v>0</v>
      </c>
      <c r="BS76" s="97">
        <f t="shared" ca="1" si="270"/>
        <v>0</v>
      </c>
      <c r="BT76" s="151">
        <f t="shared" ca="1" si="303"/>
        <v>0</v>
      </c>
      <c r="BU76" s="188">
        <f t="shared" ca="1" si="304"/>
        <v>0</v>
      </c>
      <c r="BV76" s="144"/>
      <c r="BW76" s="126">
        <f t="shared" ca="1" si="271"/>
        <v>0</v>
      </c>
      <c r="BX76" s="126"/>
      <c r="BY76" s="97">
        <f t="shared" ca="1" si="305"/>
        <v>0</v>
      </c>
      <c r="BZ76" s="97">
        <f t="shared" ca="1" si="272"/>
        <v>0</v>
      </c>
      <c r="CA76" s="151">
        <f t="shared" ca="1" si="306"/>
        <v>0</v>
      </c>
      <c r="CB76" s="188">
        <f t="shared" ca="1" si="307"/>
        <v>0</v>
      </c>
      <c r="CC76" s="144"/>
      <c r="CD76" s="126">
        <f t="shared" ca="1" si="308"/>
        <v>0</v>
      </c>
      <c r="CE76" s="126"/>
      <c r="CF76" s="97">
        <f t="shared" ca="1" si="309"/>
        <v>0</v>
      </c>
      <c r="CG76" s="97">
        <f t="shared" ca="1" si="274"/>
        <v>0</v>
      </c>
      <c r="CH76" s="151">
        <f t="shared" ca="1" si="310"/>
        <v>0</v>
      </c>
      <c r="CI76" s="188">
        <f t="shared" ca="1" si="311"/>
        <v>0</v>
      </c>
      <c r="CJ76" s="5"/>
      <c r="CK76" s="5"/>
      <c r="CL76" s="5"/>
    </row>
    <row r="77" spans="1:90" s="6" customFormat="1">
      <c r="A77" s="133" t="s">
        <v>139</v>
      </c>
      <c r="B77" s="63">
        <v>51350501</v>
      </c>
      <c r="C77" s="134">
        <f t="shared" ca="1" si="275"/>
        <v>2358190.58</v>
      </c>
      <c r="D77" s="78"/>
      <c r="E77" s="126">
        <v>200000</v>
      </c>
      <c r="F77" s="126"/>
      <c r="G77" s="104">
        <f t="shared" ca="1" si="251"/>
        <v>142624.29</v>
      </c>
      <c r="H77" s="98">
        <f t="shared" si="276"/>
        <v>200000</v>
      </c>
      <c r="I77" s="57">
        <f t="shared" ca="1" si="252"/>
        <v>142624.29</v>
      </c>
      <c r="J77" s="188">
        <f t="shared" ca="1" si="277"/>
        <v>-57375.709999999992</v>
      </c>
      <c r="K77" s="70"/>
      <c r="L77" s="126">
        <f t="shared" si="312"/>
        <v>200000</v>
      </c>
      <c r="M77" s="126"/>
      <c r="N77" s="97">
        <f t="shared" ca="1" si="278"/>
        <v>146331.99999999997</v>
      </c>
      <c r="O77" s="98">
        <f t="shared" si="279"/>
        <v>400000</v>
      </c>
      <c r="P77" s="151">
        <f t="shared" ca="1" si="280"/>
        <v>288956.28999999998</v>
      </c>
      <c r="Q77" s="188">
        <f t="shared" ca="1" si="281"/>
        <v>53668.000000000029</v>
      </c>
      <c r="R77" s="70"/>
      <c r="S77" s="126">
        <f t="shared" si="254"/>
        <v>200000</v>
      </c>
      <c r="T77" s="126"/>
      <c r="U77" s="97">
        <f t="shared" ca="1" si="282"/>
        <v>246318.00000000006</v>
      </c>
      <c r="V77" s="97">
        <f t="shared" si="255"/>
        <v>600000</v>
      </c>
      <c r="W77" s="151">
        <f t="shared" ca="1" si="283"/>
        <v>535274.29</v>
      </c>
      <c r="X77" s="188">
        <f t="shared" ca="1" si="284"/>
        <v>-46318.000000000058</v>
      </c>
      <c r="Y77" s="70"/>
      <c r="Z77" s="126">
        <f t="shared" si="256"/>
        <v>200000</v>
      </c>
      <c r="AA77" s="126"/>
      <c r="AB77" s="97">
        <f t="shared" ca="1" si="285"/>
        <v>246579</v>
      </c>
      <c r="AC77" s="97">
        <f t="shared" si="257"/>
        <v>800000</v>
      </c>
      <c r="AD77" s="151">
        <f t="shared" ca="1" si="286"/>
        <v>781853.29</v>
      </c>
      <c r="AE77" s="188">
        <f t="shared" ca="1" si="287"/>
        <v>-46579</v>
      </c>
      <c r="AF77" s="70"/>
      <c r="AG77" s="126">
        <f t="shared" si="258"/>
        <v>200000</v>
      </c>
      <c r="AH77" s="126"/>
      <c r="AI77" s="97">
        <f t="shared" ca="1" si="288"/>
        <v>200000</v>
      </c>
      <c r="AJ77" s="97">
        <f t="shared" si="259"/>
        <v>1000000</v>
      </c>
      <c r="AK77" s="151">
        <f t="shared" ca="1" si="289"/>
        <v>981853.29</v>
      </c>
      <c r="AL77" s="188">
        <f t="shared" ca="1" si="290"/>
        <v>0</v>
      </c>
      <c r="AM77" s="70"/>
      <c r="AN77" s="126">
        <f t="shared" si="260"/>
        <v>200000</v>
      </c>
      <c r="AO77" s="126"/>
      <c r="AP77" s="97">
        <f t="shared" ca="1" si="291"/>
        <v>197242</v>
      </c>
      <c r="AQ77" s="97">
        <f t="shared" si="261"/>
        <v>1200000</v>
      </c>
      <c r="AR77" s="151">
        <f t="shared" ca="1" si="292"/>
        <v>1179095.29</v>
      </c>
      <c r="AS77" s="188">
        <f t="shared" ca="1" si="293"/>
        <v>2758</v>
      </c>
      <c r="AT77" s="70"/>
      <c r="AU77" s="126">
        <f t="shared" si="262"/>
        <v>200000</v>
      </c>
      <c r="AV77" s="126"/>
      <c r="AW77" s="97">
        <f t="shared" ca="1" si="294"/>
        <v>217848</v>
      </c>
      <c r="AX77" s="126">
        <f t="shared" si="263"/>
        <v>1400000</v>
      </c>
      <c r="AY77" s="151">
        <f t="shared" ca="1" si="295"/>
        <v>1396943.29</v>
      </c>
      <c r="AZ77" s="188">
        <f t="shared" ca="1" si="296"/>
        <v>-17848</v>
      </c>
      <c r="BA77" s="144"/>
      <c r="BB77" s="126">
        <f t="shared" si="264"/>
        <v>200000</v>
      </c>
      <c r="BC77" s="126"/>
      <c r="BD77" s="97">
        <f t="shared" ca="1" si="297"/>
        <v>537321</v>
      </c>
      <c r="BE77" s="97">
        <f t="shared" si="265"/>
        <v>1600000</v>
      </c>
      <c r="BF77" s="151">
        <f t="shared" ca="1" si="298"/>
        <v>1934264.29</v>
      </c>
      <c r="BG77" s="188">
        <f t="shared" ca="1" si="299"/>
        <v>-337321</v>
      </c>
      <c r="BH77" s="144"/>
      <c r="BI77" s="126">
        <f t="shared" si="266"/>
        <v>200000</v>
      </c>
      <c r="BJ77" s="126"/>
      <c r="BK77" s="97">
        <f t="shared" ca="1" si="480"/>
        <v>0</v>
      </c>
      <c r="BL77" s="97">
        <f t="shared" si="268"/>
        <v>1800000</v>
      </c>
      <c r="BM77" s="151">
        <f t="shared" ca="1" si="300"/>
        <v>0</v>
      </c>
      <c r="BN77" s="188">
        <f t="shared" ca="1" si="301"/>
        <v>200000</v>
      </c>
      <c r="BO77" s="144"/>
      <c r="BP77" s="126">
        <f t="shared" si="269"/>
        <v>200000</v>
      </c>
      <c r="BQ77" s="126"/>
      <c r="BR77" s="97">
        <f t="shared" ca="1" si="302"/>
        <v>0</v>
      </c>
      <c r="BS77" s="97">
        <f t="shared" si="270"/>
        <v>2000000</v>
      </c>
      <c r="BT77" s="151">
        <f t="shared" ca="1" si="303"/>
        <v>0</v>
      </c>
      <c r="BU77" s="188">
        <f t="shared" ca="1" si="304"/>
        <v>200000</v>
      </c>
      <c r="BV77" s="144"/>
      <c r="BW77" s="126">
        <f t="shared" si="271"/>
        <v>200000</v>
      </c>
      <c r="BX77" s="126"/>
      <c r="BY77" s="97">
        <f t="shared" ca="1" si="305"/>
        <v>0</v>
      </c>
      <c r="BZ77" s="97">
        <f t="shared" si="272"/>
        <v>2200000</v>
      </c>
      <c r="CA77" s="151">
        <f t="shared" ca="1" si="306"/>
        <v>0</v>
      </c>
      <c r="CB77" s="188">
        <f t="shared" ca="1" si="307"/>
        <v>200000</v>
      </c>
      <c r="CC77" s="144"/>
      <c r="CD77" s="126">
        <f t="shared" si="308"/>
        <v>200000</v>
      </c>
      <c r="CE77" s="126"/>
      <c r="CF77" s="97">
        <f t="shared" ca="1" si="309"/>
        <v>0</v>
      </c>
      <c r="CG77" s="97">
        <f t="shared" si="274"/>
        <v>2400000</v>
      </c>
      <c r="CH77" s="151">
        <f t="shared" ca="1" si="310"/>
        <v>0</v>
      </c>
      <c r="CI77" s="188">
        <f t="shared" ca="1" si="311"/>
        <v>200000</v>
      </c>
      <c r="CJ77" s="5"/>
      <c r="CK77" s="5"/>
      <c r="CL77" s="5"/>
    </row>
    <row r="78" spans="1:90" s="6" customFormat="1">
      <c r="A78" s="133" t="s">
        <v>140</v>
      </c>
      <c r="B78" s="63">
        <v>51350502</v>
      </c>
      <c r="C78" s="134">
        <f t="shared" ca="1" si="275"/>
        <v>38436.239999999598</v>
      </c>
      <c r="D78" s="78"/>
      <c r="E78" s="126">
        <f ca="1">$C78/COUNTA(E$1:$CI$1)</f>
        <v>3203.0199999999663</v>
      </c>
      <c r="F78" s="126"/>
      <c r="G78" s="104">
        <f t="shared" ca="1" si="251"/>
        <v>2341.0300000000002</v>
      </c>
      <c r="H78" s="98">
        <f t="shared" ca="1" si="276"/>
        <v>3203.0199999999663</v>
      </c>
      <c r="I78" s="57">
        <f t="shared" ca="1" si="252"/>
        <v>2341.0300000000002</v>
      </c>
      <c r="J78" s="188">
        <f t="shared" ca="1" si="277"/>
        <v>-861.98999999996613</v>
      </c>
      <c r="K78" s="70"/>
      <c r="L78" s="126">
        <f t="shared" ca="1" si="312"/>
        <v>3203.0199999999663</v>
      </c>
      <c r="M78" s="126"/>
      <c r="N78" s="97">
        <f t="shared" ca="1" si="278"/>
        <v>3181.7399999997901</v>
      </c>
      <c r="O78" s="98">
        <f t="shared" ca="1" si="279"/>
        <v>6406.0399999999327</v>
      </c>
      <c r="P78" s="151">
        <f t="shared" ca="1" si="280"/>
        <v>5522.7699999997903</v>
      </c>
      <c r="Q78" s="188">
        <f t="shared" ca="1" si="281"/>
        <v>21.280000000176187</v>
      </c>
      <c r="R78" s="70"/>
      <c r="S78" s="126">
        <f t="shared" ca="1" si="254"/>
        <v>3203.0199999999663</v>
      </c>
      <c r="T78" s="126"/>
      <c r="U78" s="97">
        <f t="shared" ca="1" si="282"/>
        <v>3010.7499999999991</v>
      </c>
      <c r="V78" s="97">
        <f t="shared" ca="1" si="255"/>
        <v>9609.0599999998994</v>
      </c>
      <c r="W78" s="151">
        <f t="shared" ca="1" si="283"/>
        <v>8533.5199999997894</v>
      </c>
      <c r="X78" s="188">
        <f t="shared" ca="1" si="284"/>
        <v>192.26999999996724</v>
      </c>
      <c r="Y78" s="70"/>
      <c r="Z78" s="126">
        <f t="shared" ca="1" si="256"/>
        <v>3203.0199999999663</v>
      </c>
      <c r="AA78" s="126"/>
      <c r="AB78" s="97">
        <f t="shared" ca="1" si="285"/>
        <v>3183.4000000000106</v>
      </c>
      <c r="AC78" s="97">
        <f t="shared" ca="1" si="257"/>
        <v>12812.079999999865</v>
      </c>
      <c r="AD78" s="151">
        <f t="shared" ca="1" si="286"/>
        <v>11716.9199999998</v>
      </c>
      <c r="AE78" s="188">
        <f t="shared" ca="1" si="287"/>
        <v>19.61999999995578</v>
      </c>
      <c r="AF78" s="70"/>
      <c r="AG78" s="126">
        <f t="shared" ca="1" si="258"/>
        <v>3203.0199999999663</v>
      </c>
      <c r="AH78" s="126"/>
      <c r="AI78" s="97">
        <f t="shared" ca="1" si="288"/>
        <v>3659.5399999999008</v>
      </c>
      <c r="AJ78" s="97">
        <f t="shared" ca="1" si="259"/>
        <v>16015.099999999831</v>
      </c>
      <c r="AK78" s="151">
        <f t="shared" ca="1" si="289"/>
        <v>15376.459999999701</v>
      </c>
      <c r="AL78" s="188">
        <f t="shared" ca="1" si="290"/>
        <v>-456.5199999999345</v>
      </c>
      <c r="AM78" s="70"/>
      <c r="AN78" s="126">
        <f t="shared" ca="1" si="260"/>
        <v>3203.0199999999663</v>
      </c>
      <c r="AO78" s="126"/>
      <c r="AP78" s="97">
        <f t="shared" ca="1" si="291"/>
        <v>3841.6600000000981</v>
      </c>
      <c r="AQ78" s="97">
        <f t="shared" ca="1" si="261"/>
        <v>19218.119999999799</v>
      </c>
      <c r="AR78" s="151">
        <f t="shared" ca="1" si="292"/>
        <v>19218.119999999799</v>
      </c>
      <c r="AS78" s="188">
        <f t="shared" ca="1" si="293"/>
        <v>-638.64000000013175</v>
      </c>
      <c r="AT78" s="70"/>
      <c r="AU78" s="126">
        <f t="shared" ca="1" si="262"/>
        <v>3203.0199999999663</v>
      </c>
      <c r="AV78" s="126"/>
      <c r="AW78" s="97">
        <f t="shared" ca="1" si="294"/>
        <v>1922.3499999999003</v>
      </c>
      <c r="AX78" s="126">
        <f t="shared" ca="1" si="263"/>
        <v>22421.139999999767</v>
      </c>
      <c r="AY78" s="151">
        <f t="shared" ca="1" si="295"/>
        <v>21140.469999999699</v>
      </c>
      <c r="AZ78" s="188">
        <f t="shared" ca="1" si="296"/>
        <v>1280.670000000066</v>
      </c>
      <c r="BA78" s="144"/>
      <c r="BB78" s="126">
        <f t="shared" ca="1" si="264"/>
        <v>3203.0199999999663</v>
      </c>
      <c r="BC78" s="126"/>
      <c r="BD78" s="97">
        <f t="shared" ca="1" si="297"/>
        <v>3800.4000000000997</v>
      </c>
      <c r="BE78" s="97">
        <f t="shared" ca="1" si="265"/>
        <v>25624.159999999734</v>
      </c>
      <c r="BF78" s="151">
        <f t="shared" ca="1" si="298"/>
        <v>24940.869999999799</v>
      </c>
      <c r="BG78" s="188">
        <f t="shared" ca="1" si="299"/>
        <v>-597.38000000013335</v>
      </c>
      <c r="BH78" s="144"/>
      <c r="BI78" s="126">
        <f t="shared" ca="1" si="266"/>
        <v>3203.0199999999663</v>
      </c>
      <c r="BJ78" s="126"/>
      <c r="BK78" s="97">
        <f t="shared" ca="1" si="480"/>
        <v>0</v>
      </c>
      <c r="BL78" s="97">
        <f t="shared" ca="1" si="268"/>
        <v>28827.179999999702</v>
      </c>
      <c r="BM78" s="151">
        <f t="shared" ca="1" si="300"/>
        <v>0</v>
      </c>
      <c r="BN78" s="188">
        <f t="shared" ca="1" si="301"/>
        <v>3203.0199999999663</v>
      </c>
      <c r="BO78" s="144"/>
      <c r="BP78" s="126">
        <f t="shared" ca="1" si="269"/>
        <v>3203.0199999999663</v>
      </c>
      <c r="BQ78" s="126"/>
      <c r="BR78" s="97">
        <f t="shared" ca="1" si="302"/>
        <v>0</v>
      </c>
      <c r="BS78" s="97">
        <f t="shared" ca="1" si="270"/>
        <v>32030.19999999967</v>
      </c>
      <c r="BT78" s="151">
        <f t="shared" ca="1" si="303"/>
        <v>0</v>
      </c>
      <c r="BU78" s="188">
        <f t="shared" ca="1" si="304"/>
        <v>3203.0199999999663</v>
      </c>
      <c r="BV78" s="144"/>
      <c r="BW78" s="126">
        <f t="shared" ca="1" si="271"/>
        <v>3203.0199999999663</v>
      </c>
      <c r="BX78" s="126"/>
      <c r="BY78" s="97">
        <f t="shared" ca="1" si="305"/>
        <v>0</v>
      </c>
      <c r="BZ78" s="97">
        <f t="shared" ca="1" si="272"/>
        <v>35233.219999999637</v>
      </c>
      <c r="CA78" s="151">
        <f t="shared" ca="1" si="306"/>
        <v>0</v>
      </c>
      <c r="CB78" s="188">
        <f t="shared" ca="1" si="307"/>
        <v>3203.0199999999663</v>
      </c>
      <c r="CC78" s="144"/>
      <c r="CD78" s="126">
        <f t="shared" ca="1" si="308"/>
        <v>3203.0199999999663</v>
      </c>
      <c r="CE78" s="126"/>
      <c r="CF78" s="97">
        <f t="shared" ca="1" si="309"/>
        <v>0</v>
      </c>
      <c r="CG78" s="97">
        <f t="shared" ca="1" si="274"/>
        <v>38436.239999999605</v>
      </c>
      <c r="CH78" s="151">
        <f t="shared" ca="1" si="310"/>
        <v>0</v>
      </c>
      <c r="CI78" s="188">
        <f t="shared" ca="1" si="311"/>
        <v>3203.0199999999663</v>
      </c>
      <c r="CJ78" s="5"/>
      <c r="CK78" s="5"/>
      <c r="CL78" s="5"/>
    </row>
    <row r="79" spans="1:90" s="6" customFormat="1">
      <c r="A79" s="133" t="s">
        <v>564</v>
      </c>
      <c r="B79" s="63">
        <v>51350503</v>
      </c>
      <c r="C79" s="134">
        <f t="shared" ca="1" si="275"/>
        <v>94076</v>
      </c>
      <c r="D79" s="78"/>
      <c r="E79" s="126">
        <f ca="1">$C79/COUNTA(E$1:$CI$1)</f>
        <v>7839.666666666667</v>
      </c>
      <c r="F79" s="126"/>
      <c r="G79" s="104">
        <f t="shared" ref="G79" ca="1" si="481">IFERROR(I79,0)</f>
        <v>0</v>
      </c>
      <c r="H79" s="98">
        <f t="shared" ref="H79" ca="1" si="482">IFERROR(E79,0)</f>
        <v>7839.666666666667</v>
      </c>
      <c r="I79" s="57">
        <f t="shared" ref="I79" ca="1" si="483">IFERROR(IFERROR(VLOOKUP(TEXT($B79,0),INDIRECT("'Balance a "&amp;LEFT(E$1,3)&amp;"'!$B$3:$G$300"),4,0),VLOOKUP(VALUE($B79),INDIRECT("'Balance a "&amp;LEFT(E$1,3)&amp;"'!$B$3:$G$300"),4,0)),0)</f>
        <v>0</v>
      </c>
      <c r="J79" s="188">
        <f t="shared" ref="J79" ca="1" si="484">IFERROR(G79-E79,0)</f>
        <v>-7839.666666666667</v>
      </c>
      <c r="K79" s="70"/>
      <c r="L79" s="126">
        <f t="shared" ref="L79" ca="1" si="485">E79+F79</f>
        <v>7839.666666666667</v>
      </c>
      <c r="M79" s="126"/>
      <c r="N79" s="97">
        <f t="shared" ref="N79" ca="1" si="486">IFERROR(P79-I79,0)</f>
        <v>0</v>
      </c>
      <c r="O79" s="98">
        <f t="shared" ref="O79" ca="1" si="487">SUM(E79:F79,L79:M79)</f>
        <v>15679.333333333334</v>
      </c>
      <c r="P79" s="151">
        <f t="shared" ref="P79" ca="1" si="488">IFERROR(IFERROR(VLOOKUP(TEXT($B79,0),INDIRECT("'Balance a "&amp;LEFT(L$1,3)&amp;"'!$B$3:$G$300"),6,0),VLOOKUP(VALUE($B79),INDIRECT("'Balance a "&amp;LEFT(L$1,3)&amp;"'!$B$3:$G$300"),6,0)),0)</f>
        <v>0</v>
      </c>
      <c r="Q79" s="188">
        <f t="shared" ref="Q79" ca="1" si="489">IFERROR(SUM(L79:M79)-N79,0)</f>
        <v>7839.666666666667</v>
      </c>
      <c r="R79" s="70"/>
      <c r="S79" s="126">
        <f t="shared" ref="S79" ca="1" si="490">L79+M79</f>
        <v>7839.666666666667</v>
      </c>
      <c r="T79" s="126"/>
      <c r="U79" s="97">
        <f t="shared" ref="U79" ca="1" si="491">IFERROR(W79-P79,0)</f>
        <v>0</v>
      </c>
      <c r="V79" s="97">
        <f t="shared" ref="V79" ca="1" si="492">SUM(E79:F79,L79:M79,S79:T79)</f>
        <v>23519</v>
      </c>
      <c r="W79" s="151">
        <f t="shared" ref="W79" ca="1" si="493">IFERROR(IFERROR(VLOOKUP(TEXT($B79,0),INDIRECT("'Balance a "&amp;LEFT(S$1,3)&amp;"'!$B$3:$G$300"),6,0),VLOOKUP(VALUE($B79),INDIRECT("'Balance a "&amp;LEFT(S$1,3)&amp;"'!$B$3:$G$300"),6,0)),0)</f>
        <v>0</v>
      </c>
      <c r="X79" s="188">
        <f t="shared" ref="X79" ca="1" si="494">IFERROR(SUM(S79:T79)-U79,0)</f>
        <v>7839.666666666667</v>
      </c>
      <c r="Y79" s="70"/>
      <c r="Z79" s="126">
        <f t="shared" ref="Z79" ca="1" si="495">S79+T79</f>
        <v>7839.666666666667</v>
      </c>
      <c r="AA79" s="126"/>
      <c r="AB79" s="97">
        <f t="shared" ref="AB79" ca="1" si="496">IFERROR(AD79-W79,0)</f>
        <v>0</v>
      </c>
      <c r="AC79" s="97">
        <f t="shared" ref="AC79" ca="1" si="497">SUM(E79:F79,L79:M79,S79:T79,Z79:AA79)</f>
        <v>31358.666666666668</v>
      </c>
      <c r="AD79" s="151">
        <f t="shared" ref="AD79" ca="1" si="498">IFERROR(IFERROR(VLOOKUP(TEXT($B79,0),INDIRECT("'Balance a "&amp;LEFT(Z$1,3)&amp;"'!$B$3:$G$300"),6,0),VLOOKUP(VALUE($B79),INDIRECT("'Balance a "&amp;LEFT(Z$1,3)&amp;"'!$B$3:$G$300"),6,0)),0)</f>
        <v>0</v>
      </c>
      <c r="AE79" s="188">
        <f t="shared" ref="AE79" ca="1" si="499">IFERROR(SUM(Z79:AA79)-AB79,0)</f>
        <v>7839.666666666667</v>
      </c>
      <c r="AF79" s="70"/>
      <c r="AG79" s="126">
        <f t="shared" ref="AG79" ca="1" si="500">Z79+AA79</f>
        <v>7839.666666666667</v>
      </c>
      <c r="AH79" s="126"/>
      <c r="AI79" s="97">
        <f t="shared" ref="AI79" ca="1" si="501">IFERROR(AK79-AD79,0)</f>
        <v>47038</v>
      </c>
      <c r="AJ79" s="97">
        <f t="shared" ref="AJ79" ca="1" si="502">SUM(E79:F79,L79:M79,S79:T79,Z79:AA79,AG79:AH79)</f>
        <v>39198.333333333336</v>
      </c>
      <c r="AK79" s="151">
        <f t="shared" ref="AK79" ca="1" si="503">IFERROR(IFERROR(VLOOKUP(TEXT($B79,0),INDIRECT("'Balance a "&amp;LEFT(AG$1,3)&amp;"'!$B$3:$G$300"),6,0),VLOOKUP(VALUE($B79),INDIRECT("'Balance a "&amp;LEFT(AG$1,3)&amp;"'!$B$3:$G$300"),6,0)),0)</f>
        <v>47038</v>
      </c>
      <c r="AL79" s="188">
        <f t="shared" ref="AL79" ca="1" si="504">IFERROR(SUM(AG79:AH79)-AI79,0)</f>
        <v>-39198.333333333336</v>
      </c>
      <c r="AM79" s="70"/>
      <c r="AN79" s="126">
        <f t="shared" ref="AN79" ca="1" si="505">AG79+AH79</f>
        <v>7839.666666666667</v>
      </c>
      <c r="AO79" s="126"/>
      <c r="AP79" s="97">
        <f t="shared" ref="AP79" ca="1" si="506">IFERROR(AR79-AK79,0)</f>
        <v>0</v>
      </c>
      <c r="AQ79" s="97">
        <f t="shared" ref="AQ79" ca="1" si="507">SUM(E79:F79,L79:M79,S79:T79,Z79:AA79,AG79:AH79,AN79:AO79)</f>
        <v>47038</v>
      </c>
      <c r="AR79" s="151">
        <f t="shared" ref="AR79" ca="1" si="508">IFERROR(IFERROR(VLOOKUP(TEXT($B79,0),INDIRECT("'Balance a "&amp;LEFT(AN$1,3)&amp;"'!$B$3:$G$300"),6,0),VLOOKUP(VALUE($B79),INDIRECT("'Balance a "&amp;LEFT(AN$1,3)&amp;"'!$B$3:$G$300"),6,0)),0)</f>
        <v>47038</v>
      </c>
      <c r="AS79" s="188">
        <f t="shared" ref="AS79" ca="1" si="509">IFERROR(SUM(AN79:AO79)-AP79,0)</f>
        <v>7839.666666666667</v>
      </c>
      <c r="AT79" s="70"/>
      <c r="AU79" s="126">
        <f t="shared" ref="AU79" ca="1" si="510">AN79+AO79</f>
        <v>7839.666666666667</v>
      </c>
      <c r="AV79" s="126"/>
      <c r="AW79" s="97">
        <f t="shared" ref="AW79" ca="1" si="511">IFERROR(AY79-AR79,0)</f>
        <v>0</v>
      </c>
      <c r="AX79" s="126">
        <f t="shared" ref="AX79" ca="1" si="512">SUM(E79:F79,L79:M79,S79:T79,Z79:AA79,AG79:AH79,AN79:AO79,AU79:AV79)</f>
        <v>54877.666666666664</v>
      </c>
      <c r="AY79" s="151">
        <f t="shared" ref="AY79" ca="1" si="513">IFERROR(IFERROR(VLOOKUP(TEXT($B79,0),INDIRECT("'Balance a "&amp;LEFT(AU$1,3)&amp;"'!$B$3:$G$300"),6,0),VLOOKUP(VALUE($B79),INDIRECT("'Balance a "&amp;LEFT(AU$1,3)&amp;"'!$B$3:$G$300"),6,0)),0)</f>
        <v>47038</v>
      </c>
      <c r="AZ79" s="188">
        <f t="shared" ref="AZ79" ca="1" si="514">IFERROR(SUM(AU79:AV79)-AW79,0)</f>
        <v>7839.666666666667</v>
      </c>
      <c r="BA79" s="144"/>
      <c r="BB79" s="126">
        <f t="shared" ref="BB79" ca="1" si="515">AU79+AV79</f>
        <v>7839.666666666667</v>
      </c>
      <c r="BC79" s="126"/>
      <c r="BD79" s="97">
        <f t="shared" ref="BD79" ca="1" si="516">IFERROR(BF79-AY79,0)</f>
        <v>0</v>
      </c>
      <c r="BE79" s="97">
        <f t="shared" ref="BE79" ca="1" si="517">SUM(E79:F79,L79:M79,S79:T79,Z79:AA79,AG79:AH79,AN79:AO79,AU79:AV79,BB79:BC79)</f>
        <v>62717.333333333328</v>
      </c>
      <c r="BF79" s="151">
        <f t="shared" ref="BF79" ca="1" si="518">IFERROR(IFERROR(VLOOKUP(TEXT($B79,0),INDIRECT("'Balance a "&amp;LEFT(BB$1,3)&amp;"'!$B$3:$G$300"),6,0),VLOOKUP(VALUE($B79),INDIRECT("'Balance a "&amp;LEFT(BB$1,3)&amp;"'!$B$3:$G$300"),6,0)),0)</f>
        <v>47038</v>
      </c>
      <c r="BG79" s="188">
        <f t="shared" ref="BG79" ca="1" si="519">IFERROR(SUM(BB79:BC79)-BD79,0)</f>
        <v>7839.666666666667</v>
      </c>
      <c r="BH79" s="144"/>
      <c r="BI79" s="126">
        <f t="shared" ref="BI79" ca="1" si="520">BB79+BC79</f>
        <v>7839.666666666667</v>
      </c>
      <c r="BJ79" s="126"/>
      <c r="BK79" s="97">
        <f t="shared" ca="1" si="480"/>
        <v>0</v>
      </c>
      <c r="BL79" s="97">
        <f t="shared" ref="BL79" ca="1" si="521">SUM(E79:F79,L79:M79,S79:T79,Z79:AA79,AG79:AH79,AN79:AO79,AU79:AV79,BB79:BC79,BI79:BJ79)</f>
        <v>70557</v>
      </c>
      <c r="BM79" s="151">
        <f t="shared" ref="BM79" ca="1" si="522">IFERROR(IFERROR(VLOOKUP(TEXT($B79,0),INDIRECT("'Balance a "&amp;LEFT(BI$1,3)&amp;"'!$B$3:$G$300"),6,0),VLOOKUP(VALUE($B79),INDIRECT("'Balance a "&amp;LEFT(BI$1,3)&amp;"'!$B$3:$G$300"),6,0)),0)</f>
        <v>0</v>
      </c>
      <c r="BN79" s="188">
        <f t="shared" ref="BN79" ca="1" si="523">IFERROR(SUM(BI79:BJ79)-BK79,0)</f>
        <v>7839.666666666667</v>
      </c>
      <c r="BO79" s="144"/>
      <c r="BP79" s="126">
        <f t="shared" ref="BP79" ca="1" si="524">BI79+BJ79</f>
        <v>7839.666666666667</v>
      </c>
      <c r="BQ79" s="126"/>
      <c r="BR79" s="97">
        <f t="shared" ref="BR79" ca="1" si="525">IFERROR(BT79-BM79,0)</f>
        <v>0</v>
      </c>
      <c r="BS79" s="97">
        <f t="shared" ref="BS79" ca="1" si="526">SUM(E79:F79,L79:M79,S79:T79,Z79:AA79,AG79:AH79,AN79:AO79,AU79:AV79,BB79:BC79,BI79:BJ79,BP79:BQ79)</f>
        <v>78396.666666666672</v>
      </c>
      <c r="BT79" s="151">
        <f t="shared" ref="BT79" ca="1" si="527">IFERROR(IFERROR(VLOOKUP(TEXT($B79,0),INDIRECT("'Balance a "&amp;LEFT(BP$1,3)&amp;"'!$B$3:$G$300"),6,0),VLOOKUP(VALUE($B79),INDIRECT("'Balance a "&amp;LEFT(BP$1,3)&amp;"'!$B$3:$G$300"),6,0)),0)</f>
        <v>0</v>
      </c>
      <c r="BU79" s="188">
        <f t="shared" ref="BU79" ca="1" si="528">IFERROR(SUM(BP79:BQ79)-BR79,0)</f>
        <v>7839.666666666667</v>
      </c>
      <c r="BV79" s="144"/>
      <c r="BW79" s="126">
        <f t="shared" ref="BW79" ca="1" si="529">BP79+BQ79</f>
        <v>7839.666666666667</v>
      </c>
      <c r="BX79" s="126"/>
      <c r="BY79" s="97">
        <f t="shared" ref="BY79" ca="1" si="530">IFERROR(CA79-BT79,0)</f>
        <v>0</v>
      </c>
      <c r="BZ79" s="97">
        <f t="shared" ref="BZ79" ca="1" si="531">SUM(E79:F79,L79:M79,S79:T79,Z79:AA79,AG79:AH79,AN79:AO79,AU79:AV79,BB79:BC79,BI79:BJ79,BP79:BQ79,BW79:BX79)</f>
        <v>86236.333333333343</v>
      </c>
      <c r="CA79" s="151">
        <f t="shared" ref="CA79" ca="1" si="532">IFERROR(IFERROR(VLOOKUP(TEXT($B79,0),INDIRECT("'Balance a "&amp;LEFT(BW$1,3)&amp;"'!$B$3:$G$300"),6,0),VLOOKUP(VALUE($B79),INDIRECT("'Balance a "&amp;LEFT(BW$1,3)&amp;"'!$B$3:$G$300"),6,0)),0)</f>
        <v>0</v>
      </c>
      <c r="CB79" s="188">
        <f t="shared" ref="CB79" ca="1" si="533">IFERROR(SUM(BW79:BX79)-BY79,0)</f>
        <v>7839.666666666667</v>
      </c>
      <c r="CC79" s="144"/>
      <c r="CD79" s="126">
        <f t="shared" ref="CD79" ca="1" si="534">BW79+BX79</f>
        <v>7839.666666666667</v>
      </c>
      <c r="CE79" s="126"/>
      <c r="CF79" s="97">
        <f t="shared" ref="CF79" ca="1" si="535">IFERROR(CH79-CA79,0)</f>
        <v>0</v>
      </c>
      <c r="CG79" s="97">
        <f t="shared" ref="CG79" ca="1" si="536">SUM(E79:F79,L79:M79,S79:T79,Z79:AA79,AG79:AH79,AN79:AO79,AU79:AV79,BB79:BC79,BI79:BJ79,BP79:BQ79,BW79:BX79,CD79:CE79)</f>
        <v>94076.000000000015</v>
      </c>
      <c r="CH79" s="151">
        <f t="shared" ref="CH79" ca="1" si="537">IFERROR(IFERROR(VLOOKUP(TEXT($B79,0),INDIRECT("'Balance a "&amp;LEFT(CD$1,3)&amp;"'!$B$3:$G$300"),6,0),VLOOKUP(VALUE($B79),INDIRECT("'Balance a "&amp;LEFT(CD$1,3)&amp;"'!$B$3:$G$300"),6,0)),0)</f>
        <v>0</v>
      </c>
      <c r="CI79" s="188">
        <f t="shared" ref="CI79" ca="1" si="538">IFERROR(SUM(CD79:CE79)-CF79,0)</f>
        <v>7839.666666666667</v>
      </c>
      <c r="CJ79" s="5"/>
      <c r="CK79" s="5"/>
      <c r="CL79" s="5"/>
    </row>
    <row r="80" spans="1:90" s="6" customFormat="1">
      <c r="A80" s="133" t="s">
        <v>141</v>
      </c>
      <c r="B80" s="63">
        <v>51351501</v>
      </c>
      <c r="C80" s="134">
        <f t="shared" ca="1" si="275"/>
        <v>10700000</v>
      </c>
      <c r="D80" s="78"/>
      <c r="E80" s="126">
        <f ca="1">$C80/COUNTA(E$1:$CI$1)</f>
        <v>891666.66666666663</v>
      </c>
      <c r="F80" s="126"/>
      <c r="G80" s="104">
        <f t="shared" ca="1" si="251"/>
        <v>1750000</v>
      </c>
      <c r="H80" s="98">
        <f t="shared" ca="1" si="276"/>
        <v>891666.66666666663</v>
      </c>
      <c r="I80" s="57">
        <f t="shared" ca="1" si="252"/>
        <v>1750000</v>
      </c>
      <c r="J80" s="188">
        <f t="shared" ca="1" si="277"/>
        <v>858333.33333333337</v>
      </c>
      <c r="K80" s="70"/>
      <c r="L80" s="126">
        <f t="shared" ca="1" si="312"/>
        <v>891666.66666666663</v>
      </c>
      <c r="M80" s="126"/>
      <c r="N80" s="97">
        <f t="shared" ca="1" si="278"/>
        <v>900000</v>
      </c>
      <c r="O80" s="98">
        <f t="shared" ca="1" si="279"/>
        <v>1783333.3333333333</v>
      </c>
      <c r="P80" s="151">
        <f t="shared" ca="1" si="280"/>
        <v>2650000</v>
      </c>
      <c r="Q80" s="188">
        <f t="shared" ca="1" si="281"/>
        <v>-8333.3333333333721</v>
      </c>
      <c r="R80" s="70"/>
      <c r="S80" s="126">
        <f t="shared" ca="1" si="254"/>
        <v>891666.66666666663</v>
      </c>
      <c r="T80" s="126"/>
      <c r="U80" s="97">
        <f t="shared" ca="1" si="282"/>
        <v>900000</v>
      </c>
      <c r="V80" s="97">
        <f t="shared" ca="1" si="255"/>
        <v>2675000</v>
      </c>
      <c r="W80" s="151">
        <f t="shared" ca="1" si="283"/>
        <v>3550000</v>
      </c>
      <c r="X80" s="188">
        <f t="shared" ca="1" si="284"/>
        <v>-8333.3333333333721</v>
      </c>
      <c r="Y80" s="70"/>
      <c r="Z80" s="126">
        <f t="shared" ca="1" si="256"/>
        <v>891666.66666666663</v>
      </c>
      <c r="AA80" s="126"/>
      <c r="AB80" s="97">
        <f t="shared" ca="1" si="285"/>
        <v>900000</v>
      </c>
      <c r="AC80" s="97">
        <f t="shared" ca="1" si="257"/>
        <v>3566666.6666666665</v>
      </c>
      <c r="AD80" s="151">
        <f t="shared" ca="1" si="286"/>
        <v>4450000</v>
      </c>
      <c r="AE80" s="188">
        <f t="shared" ca="1" si="287"/>
        <v>-8333.3333333333721</v>
      </c>
      <c r="AF80" s="70"/>
      <c r="AG80" s="126">
        <f t="shared" ca="1" si="258"/>
        <v>891666.66666666663</v>
      </c>
      <c r="AH80" s="126"/>
      <c r="AI80" s="97">
        <f t="shared" ca="1" si="288"/>
        <v>0</v>
      </c>
      <c r="AJ80" s="97">
        <f t="shared" ca="1" si="259"/>
        <v>4458333.333333333</v>
      </c>
      <c r="AK80" s="151">
        <f t="shared" ca="1" si="289"/>
        <v>4450000</v>
      </c>
      <c r="AL80" s="188">
        <f t="shared" ca="1" si="290"/>
        <v>891666.66666666663</v>
      </c>
      <c r="AM80" s="70"/>
      <c r="AN80" s="126">
        <f t="shared" ca="1" si="260"/>
        <v>891666.66666666663</v>
      </c>
      <c r="AO80" s="126"/>
      <c r="AP80" s="97">
        <f t="shared" ca="1" si="291"/>
        <v>900000</v>
      </c>
      <c r="AQ80" s="97">
        <f t="shared" ca="1" si="261"/>
        <v>5350000</v>
      </c>
      <c r="AR80" s="151">
        <f t="shared" ca="1" si="292"/>
        <v>5350000</v>
      </c>
      <c r="AS80" s="188">
        <f t="shared" ca="1" si="293"/>
        <v>-8333.3333333333721</v>
      </c>
      <c r="AT80" s="70"/>
      <c r="AU80" s="126">
        <f t="shared" ca="1" si="262"/>
        <v>891666.66666666663</v>
      </c>
      <c r="AV80" s="126"/>
      <c r="AW80" s="97">
        <f t="shared" ca="1" si="294"/>
        <v>0</v>
      </c>
      <c r="AX80" s="126">
        <f t="shared" ca="1" si="263"/>
        <v>6241666.666666667</v>
      </c>
      <c r="AY80" s="151">
        <f t="shared" ca="1" si="295"/>
        <v>5350000</v>
      </c>
      <c r="AZ80" s="188">
        <f t="shared" ca="1" si="296"/>
        <v>891666.66666666663</v>
      </c>
      <c r="BA80" s="144"/>
      <c r="BB80" s="126">
        <f t="shared" ca="1" si="264"/>
        <v>891666.66666666663</v>
      </c>
      <c r="BC80" s="126"/>
      <c r="BD80" s="97">
        <f t="shared" ca="1" si="297"/>
        <v>0</v>
      </c>
      <c r="BE80" s="97">
        <f t="shared" ca="1" si="265"/>
        <v>7133333.333333334</v>
      </c>
      <c r="BF80" s="151">
        <f t="shared" ca="1" si="298"/>
        <v>5350000</v>
      </c>
      <c r="BG80" s="188">
        <f t="shared" ca="1" si="299"/>
        <v>891666.66666666663</v>
      </c>
      <c r="BH80" s="144"/>
      <c r="BI80" s="126">
        <f t="shared" ca="1" si="266"/>
        <v>891666.66666666663</v>
      </c>
      <c r="BJ80" s="126"/>
      <c r="BK80" s="97">
        <f t="shared" ca="1" si="480"/>
        <v>0</v>
      </c>
      <c r="BL80" s="97">
        <f t="shared" ca="1" si="268"/>
        <v>8025000.0000000009</v>
      </c>
      <c r="BM80" s="151">
        <f t="shared" ca="1" si="300"/>
        <v>0</v>
      </c>
      <c r="BN80" s="188">
        <f t="shared" ca="1" si="301"/>
        <v>891666.66666666663</v>
      </c>
      <c r="BO80" s="144"/>
      <c r="BP80" s="126">
        <f t="shared" ca="1" si="269"/>
        <v>891666.66666666663</v>
      </c>
      <c r="BQ80" s="126"/>
      <c r="BR80" s="97">
        <f t="shared" ca="1" si="302"/>
        <v>0</v>
      </c>
      <c r="BS80" s="97">
        <f t="shared" ca="1" si="270"/>
        <v>8916666.6666666679</v>
      </c>
      <c r="BT80" s="151">
        <f t="shared" ca="1" si="303"/>
        <v>0</v>
      </c>
      <c r="BU80" s="188">
        <f t="shared" ca="1" si="304"/>
        <v>891666.66666666663</v>
      </c>
      <c r="BV80" s="144"/>
      <c r="BW80" s="126">
        <f t="shared" ca="1" si="271"/>
        <v>891666.66666666663</v>
      </c>
      <c r="BX80" s="126"/>
      <c r="BY80" s="97">
        <f t="shared" ca="1" si="305"/>
        <v>0</v>
      </c>
      <c r="BZ80" s="97">
        <f t="shared" ca="1" si="272"/>
        <v>9808333.333333334</v>
      </c>
      <c r="CA80" s="151">
        <f t="shared" ca="1" si="306"/>
        <v>0</v>
      </c>
      <c r="CB80" s="188">
        <f t="shared" ca="1" si="307"/>
        <v>891666.66666666663</v>
      </c>
      <c r="CC80" s="144"/>
      <c r="CD80" s="126">
        <f t="shared" ca="1" si="308"/>
        <v>891666.66666666663</v>
      </c>
      <c r="CE80" s="126"/>
      <c r="CF80" s="97">
        <f t="shared" ca="1" si="309"/>
        <v>0</v>
      </c>
      <c r="CG80" s="97">
        <f t="shared" ca="1" si="274"/>
        <v>10700000</v>
      </c>
      <c r="CH80" s="151">
        <f t="shared" ca="1" si="310"/>
        <v>0</v>
      </c>
      <c r="CI80" s="188">
        <f t="shared" ca="1" si="311"/>
        <v>891666.66666666663</v>
      </c>
      <c r="CJ80" s="5"/>
      <c r="CK80" s="5"/>
      <c r="CL80" s="5"/>
    </row>
    <row r="81" spans="1:90" s="6" customFormat="1">
      <c r="A81" s="133" t="s">
        <v>142</v>
      </c>
      <c r="B81" s="63">
        <v>51352001</v>
      </c>
      <c r="C81" s="134">
        <f t="shared" ca="1" si="275"/>
        <v>2428000</v>
      </c>
      <c r="D81" s="78"/>
      <c r="E81" s="126">
        <f ca="1">$C81/COUNTA(E$1:$CI$1)</f>
        <v>202333.33333333334</v>
      </c>
      <c r="F81" s="126"/>
      <c r="G81" s="104">
        <f t="shared" ca="1" si="251"/>
        <v>0</v>
      </c>
      <c r="H81" s="98">
        <f t="shared" ca="1" si="276"/>
        <v>202333.33333333334</v>
      </c>
      <c r="I81" s="57">
        <f t="shared" ca="1" si="252"/>
        <v>0</v>
      </c>
      <c r="J81" s="188">
        <f t="shared" ca="1" si="277"/>
        <v>-202333.33333333334</v>
      </c>
      <c r="K81" s="70"/>
      <c r="L81" s="126">
        <f t="shared" ca="1" si="312"/>
        <v>202333.33333333334</v>
      </c>
      <c r="M81" s="126"/>
      <c r="N81" s="97">
        <f t="shared" ca="1" si="278"/>
        <v>0</v>
      </c>
      <c r="O81" s="98">
        <f t="shared" ca="1" si="279"/>
        <v>404666.66666666669</v>
      </c>
      <c r="P81" s="151">
        <f t="shared" ca="1" si="280"/>
        <v>0</v>
      </c>
      <c r="Q81" s="188">
        <f t="shared" ca="1" si="281"/>
        <v>202333.33333333334</v>
      </c>
      <c r="R81" s="70"/>
      <c r="S81" s="126">
        <f t="shared" ca="1" si="254"/>
        <v>202333.33333333334</v>
      </c>
      <c r="T81" s="126"/>
      <c r="U81" s="97">
        <f t="shared" ca="1" si="282"/>
        <v>0</v>
      </c>
      <c r="V81" s="97">
        <f t="shared" ca="1" si="255"/>
        <v>607000</v>
      </c>
      <c r="W81" s="151">
        <f t="shared" ca="1" si="283"/>
        <v>0</v>
      </c>
      <c r="X81" s="188">
        <f t="shared" ca="1" si="284"/>
        <v>202333.33333333334</v>
      </c>
      <c r="Y81" s="70"/>
      <c r="Z81" s="126">
        <f t="shared" ca="1" si="256"/>
        <v>202333.33333333334</v>
      </c>
      <c r="AA81" s="126"/>
      <c r="AB81" s="97">
        <f t="shared" ca="1" si="285"/>
        <v>0</v>
      </c>
      <c r="AC81" s="97">
        <f t="shared" ca="1" si="257"/>
        <v>809333.33333333337</v>
      </c>
      <c r="AD81" s="151">
        <f t="shared" ca="1" si="286"/>
        <v>0</v>
      </c>
      <c r="AE81" s="188">
        <f t="shared" ca="1" si="287"/>
        <v>202333.33333333334</v>
      </c>
      <c r="AF81" s="70"/>
      <c r="AG81" s="126">
        <f t="shared" ca="1" si="258"/>
        <v>202333.33333333334</v>
      </c>
      <c r="AH81" s="126"/>
      <c r="AI81" s="97">
        <f t="shared" ca="1" si="288"/>
        <v>1214000</v>
      </c>
      <c r="AJ81" s="97">
        <f t="shared" ca="1" si="259"/>
        <v>1011666.6666666667</v>
      </c>
      <c r="AK81" s="151">
        <f t="shared" ca="1" si="289"/>
        <v>1214000</v>
      </c>
      <c r="AL81" s="188">
        <f t="shared" ca="1" si="290"/>
        <v>-1011666.6666666666</v>
      </c>
      <c r="AM81" s="70"/>
      <c r="AN81" s="126">
        <f t="shared" ca="1" si="260"/>
        <v>202333.33333333334</v>
      </c>
      <c r="AO81" s="126"/>
      <c r="AP81" s="97">
        <f t="shared" ca="1" si="291"/>
        <v>0</v>
      </c>
      <c r="AQ81" s="97">
        <f t="shared" ca="1" si="261"/>
        <v>1214000</v>
      </c>
      <c r="AR81" s="151">
        <f t="shared" ca="1" si="292"/>
        <v>1214000</v>
      </c>
      <c r="AS81" s="188">
        <f t="shared" ca="1" si="293"/>
        <v>202333.33333333334</v>
      </c>
      <c r="AT81" s="70"/>
      <c r="AU81" s="126">
        <f t="shared" ca="1" si="262"/>
        <v>202333.33333333334</v>
      </c>
      <c r="AV81" s="126"/>
      <c r="AW81" s="97">
        <f t="shared" ca="1" si="294"/>
        <v>248500</v>
      </c>
      <c r="AX81" s="126">
        <f t="shared" ca="1" si="263"/>
        <v>1416333.3333333333</v>
      </c>
      <c r="AY81" s="151">
        <f t="shared" ca="1" si="295"/>
        <v>1462500</v>
      </c>
      <c r="AZ81" s="188">
        <f t="shared" ca="1" si="296"/>
        <v>-46166.666666666657</v>
      </c>
      <c r="BA81" s="144"/>
      <c r="BB81" s="126">
        <f t="shared" ca="1" si="264"/>
        <v>202333.33333333334</v>
      </c>
      <c r="BC81" s="126"/>
      <c r="BD81" s="97">
        <f t="shared" ca="1" si="297"/>
        <v>600000</v>
      </c>
      <c r="BE81" s="97">
        <f t="shared" ca="1" si="265"/>
        <v>1618666.6666666665</v>
      </c>
      <c r="BF81" s="151">
        <f t="shared" ca="1" si="298"/>
        <v>2062500</v>
      </c>
      <c r="BG81" s="188">
        <f t="shared" ca="1" si="299"/>
        <v>-397666.66666666663</v>
      </c>
      <c r="BH81" s="144"/>
      <c r="BI81" s="126">
        <f t="shared" ca="1" si="266"/>
        <v>202333.33333333334</v>
      </c>
      <c r="BJ81" s="126"/>
      <c r="BK81" s="97">
        <f t="shared" ca="1" si="480"/>
        <v>0</v>
      </c>
      <c r="BL81" s="97">
        <f t="shared" ca="1" si="268"/>
        <v>1820999.9999999998</v>
      </c>
      <c r="BM81" s="151">
        <f t="shared" ca="1" si="300"/>
        <v>0</v>
      </c>
      <c r="BN81" s="188">
        <f t="shared" ca="1" si="301"/>
        <v>202333.33333333334</v>
      </c>
      <c r="BO81" s="144"/>
      <c r="BP81" s="126">
        <f t="shared" ca="1" si="269"/>
        <v>202333.33333333334</v>
      </c>
      <c r="BQ81" s="126"/>
      <c r="BR81" s="97">
        <f t="shared" ca="1" si="302"/>
        <v>0</v>
      </c>
      <c r="BS81" s="97">
        <f t="shared" ca="1" si="270"/>
        <v>2023333.333333333</v>
      </c>
      <c r="BT81" s="151">
        <f t="shared" ca="1" si="303"/>
        <v>0</v>
      </c>
      <c r="BU81" s="188">
        <f t="shared" ca="1" si="304"/>
        <v>202333.33333333334</v>
      </c>
      <c r="BV81" s="144"/>
      <c r="BW81" s="126">
        <f t="shared" ca="1" si="271"/>
        <v>202333.33333333334</v>
      </c>
      <c r="BX81" s="126"/>
      <c r="BY81" s="97">
        <f t="shared" ca="1" si="305"/>
        <v>0</v>
      </c>
      <c r="BZ81" s="97">
        <f t="shared" ca="1" si="272"/>
        <v>2225666.6666666665</v>
      </c>
      <c r="CA81" s="151">
        <f t="shared" ca="1" si="306"/>
        <v>0</v>
      </c>
      <c r="CB81" s="188">
        <f t="shared" ca="1" si="307"/>
        <v>202333.33333333334</v>
      </c>
      <c r="CC81" s="144"/>
      <c r="CD81" s="126">
        <f t="shared" ca="1" si="308"/>
        <v>202333.33333333334</v>
      </c>
      <c r="CE81" s="126"/>
      <c r="CF81" s="97">
        <f t="shared" ca="1" si="309"/>
        <v>0</v>
      </c>
      <c r="CG81" s="97">
        <f t="shared" ca="1" si="274"/>
        <v>2428000</v>
      </c>
      <c r="CH81" s="151">
        <f t="shared" ca="1" si="310"/>
        <v>0</v>
      </c>
      <c r="CI81" s="188">
        <f t="shared" ca="1" si="311"/>
        <v>202333.33333333334</v>
      </c>
      <c r="CJ81" s="5"/>
      <c r="CK81" s="5"/>
      <c r="CL81" s="5"/>
    </row>
    <row r="82" spans="1:90" s="6" customFormat="1">
      <c r="A82" s="133" t="s">
        <v>143</v>
      </c>
      <c r="B82" s="63">
        <v>51352501</v>
      </c>
      <c r="C82" s="134">
        <f t="shared" ca="1" si="275"/>
        <v>507035.98</v>
      </c>
      <c r="D82" s="78"/>
      <c r="E82" s="126">
        <f ca="1">$C82/COUNTA(E$1:$CI$1)</f>
        <v>42252.998333333329</v>
      </c>
      <c r="F82" s="126"/>
      <c r="G82" s="104">
        <f t="shared" ca="1" si="251"/>
        <v>34527.910000000003</v>
      </c>
      <c r="H82" s="98">
        <f t="shared" ca="1" si="276"/>
        <v>42252.998333333329</v>
      </c>
      <c r="I82" s="57">
        <f t="shared" ca="1" si="252"/>
        <v>34527.910000000003</v>
      </c>
      <c r="J82" s="188">
        <f t="shared" ca="1" si="277"/>
        <v>-7725.0883333333259</v>
      </c>
      <c r="K82" s="70"/>
      <c r="L82" s="126">
        <f t="shared" ca="1" si="312"/>
        <v>42252.998333333329</v>
      </c>
      <c r="M82" s="126"/>
      <c r="N82" s="97">
        <f t="shared" ca="1" si="278"/>
        <v>34529.000000000102</v>
      </c>
      <c r="O82" s="98">
        <f t="shared" ca="1" si="279"/>
        <v>84505.996666666659</v>
      </c>
      <c r="P82" s="151">
        <f t="shared" ca="1" si="280"/>
        <v>69056.910000000105</v>
      </c>
      <c r="Q82" s="188">
        <f t="shared" ca="1" si="281"/>
        <v>7723.9983333332275</v>
      </c>
      <c r="R82" s="70"/>
      <c r="S82" s="126">
        <f t="shared" ca="1" si="254"/>
        <v>42252.998333333329</v>
      </c>
      <c r="T82" s="126"/>
      <c r="U82" s="97">
        <f t="shared" ca="1" si="282"/>
        <v>51235.089999999895</v>
      </c>
      <c r="V82" s="97">
        <f t="shared" ca="1" si="255"/>
        <v>126758.995</v>
      </c>
      <c r="W82" s="151">
        <f t="shared" ca="1" si="283"/>
        <v>120292</v>
      </c>
      <c r="X82" s="188">
        <f t="shared" ca="1" si="284"/>
        <v>-8982.0916666665653</v>
      </c>
      <c r="Y82" s="70"/>
      <c r="Z82" s="126">
        <f t="shared" ca="1" si="256"/>
        <v>42252.998333333329</v>
      </c>
      <c r="AA82" s="126"/>
      <c r="AB82" s="97">
        <f t="shared" ca="1" si="285"/>
        <v>43459</v>
      </c>
      <c r="AC82" s="97">
        <f t="shared" ca="1" si="257"/>
        <v>169011.99333333332</v>
      </c>
      <c r="AD82" s="151">
        <f t="shared" ca="1" si="286"/>
        <v>163751</v>
      </c>
      <c r="AE82" s="188">
        <f t="shared" ca="1" si="287"/>
        <v>-1206.0016666666706</v>
      </c>
      <c r="AF82" s="70"/>
      <c r="AG82" s="126">
        <f t="shared" ca="1" si="258"/>
        <v>42252.998333333329</v>
      </c>
      <c r="AH82" s="126"/>
      <c r="AI82" s="97">
        <f t="shared" ca="1" si="288"/>
        <v>44883.429999999993</v>
      </c>
      <c r="AJ82" s="97">
        <f t="shared" ca="1" si="259"/>
        <v>211264.99166666664</v>
      </c>
      <c r="AK82" s="151">
        <f t="shared" ca="1" si="289"/>
        <v>208634.43</v>
      </c>
      <c r="AL82" s="188">
        <f t="shared" ca="1" si="290"/>
        <v>-2630.4316666666637</v>
      </c>
      <c r="AM82" s="70"/>
      <c r="AN82" s="126">
        <f t="shared" ca="1" si="260"/>
        <v>42252.998333333329</v>
      </c>
      <c r="AO82" s="126"/>
      <c r="AP82" s="97">
        <f t="shared" ca="1" si="291"/>
        <v>44883.56</v>
      </c>
      <c r="AQ82" s="97">
        <f t="shared" ca="1" si="261"/>
        <v>253517.98999999996</v>
      </c>
      <c r="AR82" s="151">
        <f t="shared" ca="1" si="292"/>
        <v>253517.99</v>
      </c>
      <c r="AS82" s="188">
        <f t="shared" ca="1" si="293"/>
        <v>-2630.5616666666683</v>
      </c>
      <c r="AT82" s="70"/>
      <c r="AU82" s="126">
        <f t="shared" ca="1" si="262"/>
        <v>42252.998333333329</v>
      </c>
      <c r="AV82" s="126"/>
      <c r="AW82" s="97">
        <f t="shared" ca="1" si="294"/>
        <v>44630</v>
      </c>
      <c r="AX82" s="126">
        <f t="shared" ca="1" si="263"/>
        <v>295770.98833333328</v>
      </c>
      <c r="AY82" s="151">
        <f t="shared" ca="1" si="295"/>
        <v>298147.99</v>
      </c>
      <c r="AZ82" s="188">
        <f t="shared" ca="1" si="296"/>
        <v>-2377.0016666666706</v>
      </c>
      <c r="BA82" s="144"/>
      <c r="BB82" s="126">
        <f t="shared" ca="1" si="264"/>
        <v>42252.998333333329</v>
      </c>
      <c r="BC82" s="126"/>
      <c r="BD82" s="97">
        <f t="shared" ca="1" si="297"/>
        <v>75352</v>
      </c>
      <c r="BE82" s="97">
        <f t="shared" ca="1" si="265"/>
        <v>338023.98666666663</v>
      </c>
      <c r="BF82" s="151">
        <f t="shared" ca="1" si="298"/>
        <v>373499.99</v>
      </c>
      <c r="BG82" s="188">
        <f t="shared" ca="1" si="299"/>
        <v>-33099.001666666671</v>
      </c>
      <c r="BH82" s="144"/>
      <c r="BI82" s="126">
        <f t="shared" ca="1" si="266"/>
        <v>42252.998333333329</v>
      </c>
      <c r="BJ82" s="126"/>
      <c r="BK82" s="97">
        <f t="shared" ca="1" si="480"/>
        <v>0</v>
      </c>
      <c r="BL82" s="97">
        <f t="shared" ca="1" si="268"/>
        <v>380276.98499999999</v>
      </c>
      <c r="BM82" s="151">
        <f t="shared" ca="1" si="300"/>
        <v>0</v>
      </c>
      <c r="BN82" s="188">
        <f t="shared" ca="1" si="301"/>
        <v>42252.998333333329</v>
      </c>
      <c r="BO82" s="144"/>
      <c r="BP82" s="126">
        <f t="shared" ca="1" si="269"/>
        <v>42252.998333333329</v>
      </c>
      <c r="BQ82" s="126"/>
      <c r="BR82" s="97">
        <f t="shared" ca="1" si="302"/>
        <v>0</v>
      </c>
      <c r="BS82" s="97">
        <f t="shared" ca="1" si="270"/>
        <v>422529.98333333334</v>
      </c>
      <c r="BT82" s="151">
        <f t="shared" ca="1" si="303"/>
        <v>0</v>
      </c>
      <c r="BU82" s="188">
        <f t="shared" ca="1" si="304"/>
        <v>42252.998333333329</v>
      </c>
      <c r="BV82" s="144"/>
      <c r="BW82" s="126">
        <f t="shared" ca="1" si="271"/>
        <v>42252.998333333329</v>
      </c>
      <c r="BX82" s="126"/>
      <c r="BY82" s="97">
        <f t="shared" ca="1" si="305"/>
        <v>0</v>
      </c>
      <c r="BZ82" s="97">
        <f t="shared" ca="1" si="272"/>
        <v>464782.98166666669</v>
      </c>
      <c r="CA82" s="151">
        <f t="shared" ca="1" si="306"/>
        <v>0</v>
      </c>
      <c r="CB82" s="188">
        <f t="shared" ca="1" si="307"/>
        <v>42252.998333333329</v>
      </c>
      <c r="CC82" s="144"/>
      <c r="CD82" s="126">
        <f t="shared" ca="1" si="308"/>
        <v>42252.998333333329</v>
      </c>
      <c r="CE82" s="126"/>
      <c r="CF82" s="97">
        <f t="shared" ca="1" si="309"/>
        <v>0</v>
      </c>
      <c r="CG82" s="97">
        <f t="shared" ca="1" si="274"/>
        <v>507035.98000000004</v>
      </c>
      <c r="CH82" s="151">
        <f t="shared" ca="1" si="310"/>
        <v>0</v>
      </c>
      <c r="CI82" s="188">
        <f t="shared" ca="1" si="311"/>
        <v>42252.998333333329</v>
      </c>
      <c r="CJ82" s="5"/>
      <c r="CK82" s="5"/>
      <c r="CL82" s="5"/>
    </row>
    <row r="83" spans="1:90" s="6" customFormat="1">
      <c r="A83" s="133" t="s">
        <v>144</v>
      </c>
      <c r="B83" s="63">
        <v>51353001</v>
      </c>
      <c r="C83" s="134">
        <f t="shared" ca="1" si="275"/>
        <v>2677313.38</v>
      </c>
      <c r="D83" s="78"/>
      <c r="E83" s="126">
        <v>300000</v>
      </c>
      <c r="F83" s="126"/>
      <c r="G83" s="104">
        <f t="shared" ca="1" si="251"/>
        <v>169679.13</v>
      </c>
      <c r="H83" s="98">
        <f t="shared" si="276"/>
        <v>300000</v>
      </c>
      <c r="I83" s="57">
        <f t="shared" ca="1" si="252"/>
        <v>169679.13</v>
      </c>
      <c r="J83" s="188">
        <f t="shared" ca="1" si="277"/>
        <v>-130320.87</v>
      </c>
      <c r="K83" s="70"/>
      <c r="L83" s="126">
        <f t="shared" si="312"/>
        <v>300000</v>
      </c>
      <c r="M83" s="126"/>
      <c r="N83" s="97">
        <f t="shared" ca="1" si="278"/>
        <v>219771.26</v>
      </c>
      <c r="O83" s="98">
        <f t="shared" si="279"/>
        <v>600000</v>
      </c>
      <c r="P83" s="151">
        <f t="shared" ca="1" si="280"/>
        <v>389450.39</v>
      </c>
      <c r="Q83" s="188">
        <f t="shared" ca="1" si="281"/>
        <v>80228.739999999991</v>
      </c>
      <c r="R83" s="70"/>
      <c r="S83" s="126">
        <f t="shared" si="254"/>
        <v>300000</v>
      </c>
      <c r="T83" s="126"/>
      <c r="U83" s="97">
        <f t="shared" ca="1" si="282"/>
        <v>209539</v>
      </c>
      <c r="V83" s="97">
        <f t="shared" si="255"/>
        <v>900000</v>
      </c>
      <c r="W83" s="151">
        <f t="shared" ca="1" si="283"/>
        <v>598989.39</v>
      </c>
      <c r="X83" s="188">
        <f t="shared" ca="1" si="284"/>
        <v>90461</v>
      </c>
      <c r="Y83" s="70"/>
      <c r="Z83" s="126">
        <f t="shared" si="256"/>
        <v>300000</v>
      </c>
      <c r="AA83" s="126"/>
      <c r="AB83" s="97">
        <f t="shared" ca="1" si="285"/>
        <v>224231.59999999998</v>
      </c>
      <c r="AC83" s="97">
        <f t="shared" si="257"/>
        <v>1200000</v>
      </c>
      <c r="AD83" s="151">
        <f t="shared" ca="1" si="286"/>
        <v>823220.99</v>
      </c>
      <c r="AE83" s="188">
        <f t="shared" ca="1" si="287"/>
        <v>75768.400000000023</v>
      </c>
      <c r="AF83" s="70"/>
      <c r="AG83" s="126">
        <f t="shared" si="258"/>
        <v>300000</v>
      </c>
      <c r="AH83" s="126"/>
      <c r="AI83" s="97">
        <f t="shared" ca="1" si="288"/>
        <v>252085.1100000001</v>
      </c>
      <c r="AJ83" s="97">
        <f t="shared" si="259"/>
        <v>1500000</v>
      </c>
      <c r="AK83" s="151">
        <f t="shared" ca="1" si="289"/>
        <v>1075306.1000000001</v>
      </c>
      <c r="AL83" s="188">
        <f t="shared" ca="1" si="290"/>
        <v>47914.889999999898</v>
      </c>
      <c r="AM83" s="70"/>
      <c r="AN83" s="126">
        <f t="shared" si="260"/>
        <v>300000</v>
      </c>
      <c r="AO83" s="126"/>
      <c r="AP83" s="97">
        <f t="shared" ca="1" si="291"/>
        <v>263350.58999999985</v>
      </c>
      <c r="AQ83" s="97">
        <f t="shared" si="261"/>
        <v>1800000</v>
      </c>
      <c r="AR83" s="151">
        <f t="shared" ca="1" si="292"/>
        <v>1338656.69</v>
      </c>
      <c r="AS83" s="188">
        <f t="shared" ca="1" si="293"/>
        <v>36649.410000000149</v>
      </c>
      <c r="AT83" s="70"/>
      <c r="AU83" s="126">
        <f t="shared" si="262"/>
        <v>300000</v>
      </c>
      <c r="AV83" s="126"/>
      <c r="AW83" s="97">
        <f t="shared" ca="1" si="294"/>
        <v>144009.65000000014</v>
      </c>
      <c r="AX83" s="126">
        <f t="shared" si="263"/>
        <v>2100000</v>
      </c>
      <c r="AY83" s="151">
        <f t="shared" ca="1" si="295"/>
        <v>1482666.34</v>
      </c>
      <c r="AZ83" s="188">
        <f t="shared" ca="1" si="296"/>
        <v>155990.34999999986</v>
      </c>
      <c r="BA83" s="144"/>
      <c r="BB83" s="126">
        <f t="shared" si="264"/>
        <v>300000</v>
      </c>
      <c r="BC83" s="126"/>
      <c r="BD83" s="97">
        <f t="shared" ca="1" si="297"/>
        <v>200135.59999999986</v>
      </c>
      <c r="BE83" s="97">
        <f t="shared" si="265"/>
        <v>2400000</v>
      </c>
      <c r="BF83" s="151">
        <f t="shared" ca="1" si="298"/>
        <v>1682801.94</v>
      </c>
      <c r="BG83" s="188">
        <f t="shared" ca="1" si="299"/>
        <v>99864.40000000014</v>
      </c>
      <c r="BH83" s="144"/>
      <c r="BI83" s="126">
        <f t="shared" si="266"/>
        <v>300000</v>
      </c>
      <c r="BJ83" s="126"/>
      <c r="BK83" s="97">
        <f t="shared" ca="1" si="480"/>
        <v>0</v>
      </c>
      <c r="BL83" s="97">
        <f t="shared" si="268"/>
        <v>2700000</v>
      </c>
      <c r="BM83" s="151">
        <f t="shared" ca="1" si="300"/>
        <v>0</v>
      </c>
      <c r="BN83" s="188">
        <f t="shared" ca="1" si="301"/>
        <v>300000</v>
      </c>
      <c r="BO83" s="144"/>
      <c r="BP83" s="126">
        <f t="shared" si="269"/>
        <v>300000</v>
      </c>
      <c r="BQ83" s="126"/>
      <c r="BR83" s="97">
        <f t="shared" ca="1" si="302"/>
        <v>0</v>
      </c>
      <c r="BS83" s="97">
        <f t="shared" si="270"/>
        <v>3000000</v>
      </c>
      <c r="BT83" s="151">
        <f t="shared" ca="1" si="303"/>
        <v>0</v>
      </c>
      <c r="BU83" s="188">
        <f t="shared" ca="1" si="304"/>
        <v>300000</v>
      </c>
      <c r="BV83" s="144"/>
      <c r="BW83" s="126">
        <f t="shared" si="271"/>
        <v>300000</v>
      </c>
      <c r="BX83" s="126"/>
      <c r="BY83" s="97">
        <f t="shared" ca="1" si="305"/>
        <v>0</v>
      </c>
      <c r="BZ83" s="97">
        <f t="shared" si="272"/>
        <v>3300000</v>
      </c>
      <c r="CA83" s="151">
        <f t="shared" ca="1" si="306"/>
        <v>0</v>
      </c>
      <c r="CB83" s="188">
        <f t="shared" ca="1" si="307"/>
        <v>300000</v>
      </c>
      <c r="CC83" s="144"/>
      <c r="CD83" s="126">
        <f t="shared" si="308"/>
        <v>300000</v>
      </c>
      <c r="CE83" s="126"/>
      <c r="CF83" s="97">
        <f t="shared" ca="1" si="309"/>
        <v>0</v>
      </c>
      <c r="CG83" s="97">
        <f t="shared" si="274"/>
        <v>3600000</v>
      </c>
      <c r="CH83" s="151">
        <f t="shared" ca="1" si="310"/>
        <v>0</v>
      </c>
      <c r="CI83" s="188">
        <f t="shared" ca="1" si="311"/>
        <v>300000</v>
      </c>
      <c r="CJ83" s="5"/>
      <c r="CK83" s="5"/>
      <c r="CL83" s="5"/>
    </row>
    <row r="84" spans="1:90" s="6" customFormat="1">
      <c r="A84" s="133" t="s">
        <v>145</v>
      </c>
      <c r="B84" s="63">
        <v>51353501</v>
      </c>
      <c r="C84" s="134">
        <f t="shared" ca="1" si="275"/>
        <v>244582</v>
      </c>
      <c r="D84" s="78"/>
      <c r="E84" s="126">
        <f ca="1">$C84/COUNTA(E$1:$CI$1)</f>
        <v>20381.833333333332</v>
      </c>
      <c r="F84" s="126"/>
      <c r="G84" s="104">
        <f t="shared" ca="1" si="251"/>
        <v>44117</v>
      </c>
      <c r="H84" s="98">
        <f t="shared" ca="1" si="276"/>
        <v>20381.833333333332</v>
      </c>
      <c r="I84" s="57">
        <f t="shared" ca="1" si="252"/>
        <v>44117</v>
      </c>
      <c r="J84" s="188">
        <f t="shared" ca="1" si="277"/>
        <v>23735.166666666668</v>
      </c>
      <c r="K84" s="70"/>
      <c r="L84" s="126">
        <f t="shared" ca="1" si="312"/>
        <v>20381.833333333332</v>
      </c>
      <c r="M84" s="126"/>
      <c r="N84" s="97">
        <f t="shared" ca="1" si="278"/>
        <v>77478</v>
      </c>
      <c r="O84" s="98">
        <f t="shared" ca="1" si="279"/>
        <v>40763.666666666664</v>
      </c>
      <c r="P84" s="151">
        <f t="shared" ca="1" si="280"/>
        <v>121595</v>
      </c>
      <c r="Q84" s="188">
        <f t="shared" ca="1" si="281"/>
        <v>-57096.166666666672</v>
      </c>
      <c r="R84" s="70"/>
      <c r="S84" s="126">
        <f t="shared" ca="1" si="254"/>
        <v>20381.833333333332</v>
      </c>
      <c r="T84" s="126"/>
      <c r="U84" s="97">
        <f t="shared" ca="1" si="282"/>
        <v>696</v>
      </c>
      <c r="V84" s="97">
        <f t="shared" ca="1" si="255"/>
        <v>61145.5</v>
      </c>
      <c r="W84" s="151">
        <f t="shared" ca="1" si="283"/>
        <v>122291</v>
      </c>
      <c r="X84" s="188">
        <f t="shared" ca="1" si="284"/>
        <v>19685.833333333332</v>
      </c>
      <c r="Y84" s="70"/>
      <c r="Z84" s="126">
        <f t="shared" ca="1" si="256"/>
        <v>20381.833333333332</v>
      </c>
      <c r="AA84" s="126"/>
      <c r="AB84" s="97">
        <f t="shared" ca="1" si="285"/>
        <v>0</v>
      </c>
      <c r="AC84" s="97">
        <f t="shared" ca="1" si="257"/>
        <v>81527.333333333328</v>
      </c>
      <c r="AD84" s="151">
        <f t="shared" ca="1" si="286"/>
        <v>122291</v>
      </c>
      <c r="AE84" s="188">
        <f t="shared" ca="1" si="287"/>
        <v>20381.833333333332</v>
      </c>
      <c r="AF84" s="70"/>
      <c r="AG84" s="126">
        <f t="shared" ca="1" si="258"/>
        <v>20381.833333333332</v>
      </c>
      <c r="AH84" s="126"/>
      <c r="AI84" s="97">
        <f t="shared" ca="1" si="288"/>
        <v>0</v>
      </c>
      <c r="AJ84" s="97">
        <f t="shared" ca="1" si="259"/>
        <v>101909.16666666666</v>
      </c>
      <c r="AK84" s="151">
        <f t="shared" ca="1" si="289"/>
        <v>122291</v>
      </c>
      <c r="AL84" s="188">
        <f t="shared" ca="1" si="290"/>
        <v>20381.833333333332</v>
      </c>
      <c r="AM84" s="70"/>
      <c r="AN84" s="126">
        <f t="shared" ca="1" si="260"/>
        <v>20381.833333333332</v>
      </c>
      <c r="AO84" s="126"/>
      <c r="AP84" s="97">
        <f t="shared" ca="1" si="291"/>
        <v>0</v>
      </c>
      <c r="AQ84" s="97">
        <f t="shared" ca="1" si="261"/>
        <v>122290.99999999999</v>
      </c>
      <c r="AR84" s="151">
        <f t="shared" ca="1" si="292"/>
        <v>122291</v>
      </c>
      <c r="AS84" s="188">
        <f t="shared" ca="1" si="293"/>
        <v>20381.833333333332</v>
      </c>
      <c r="AT84" s="70"/>
      <c r="AU84" s="126">
        <f t="shared" ca="1" si="262"/>
        <v>20381.833333333332</v>
      </c>
      <c r="AV84" s="126"/>
      <c r="AW84" s="97">
        <f t="shared" ca="1" si="294"/>
        <v>0</v>
      </c>
      <c r="AX84" s="126">
        <f t="shared" ca="1" si="263"/>
        <v>142672.83333333331</v>
      </c>
      <c r="AY84" s="151">
        <f t="shared" ca="1" si="295"/>
        <v>122291</v>
      </c>
      <c r="AZ84" s="188">
        <f t="shared" ca="1" si="296"/>
        <v>20381.833333333332</v>
      </c>
      <c r="BA84" s="144"/>
      <c r="BB84" s="126">
        <f t="shared" ca="1" si="264"/>
        <v>20381.833333333332</v>
      </c>
      <c r="BC84" s="126"/>
      <c r="BD84" s="97">
        <f t="shared" ca="1" si="297"/>
        <v>0</v>
      </c>
      <c r="BE84" s="97">
        <f t="shared" ca="1" si="265"/>
        <v>163054.66666666666</v>
      </c>
      <c r="BF84" s="151">
        <f t="shared" ca="1" si="298"/>
        <v>122291</v>
      </c>
      <c r="BG84" s="188">
        <f t="shared" ca="1" si="299"/>
        <v>20381.833333333332</v>
      </c>
      <c r="BH84" s="144"/>
      <c r="BI84" s="126">
        <f t="shared" ca="1" si="266"/>
        <v>20381.833333333332</v>
      </c>
      <c r="BJ84" s="126"/>
      <c r="BK84" s="97">
        <f t="shared" ca="1" si="480"/>
        <v>0</v>
      </c>
      <c r="BL84" s="97">
        <f t="shared" ca="1" si="268"/>
        <v>183436.5</v>
      </c>
      <c r="BM84" s="151">
        <f t="shared" ca="1" si="300"/>
        <v>0</v>
      </c>
      <c r="BN84" s="188">
        <f t="shared" ca="1" si="301"/>
        <v>20381.833333333332</v>
      </c>
      <c r="BO84" s="144"/>
      <c r="BP84" s="126">
        <f t="shared" ca="1" si="269"/>
        <v>20381.833333333332</v>
      </c>
      <c r="BQ84" s="126"/>
      <c r="BR84" s="97">
        <f t="shared" ca="1" si="302"/>
        <v>0</v>
      </c>
      <c r="BS84" s="97">
        <f t="shared" ca="1" si="270"/>
        <v>203818.33333333334</v>
      </c>
      <c r="BT84" s="151">
        <f t="shared" ca="1" si="303"/>
        <v>0</v>
      </c>
      <c r="BU84" s="188">
        <f t="shared" ca="1" si="304"/>
        <v>20381.833333333332</v>
      </c>
      <c r="BV84" s="144"/>
      <c r="BW84" s="126">
        <f t="shared" ca="1" si="271"/>
        <v>20381.833333333332</v>
      </c>
      <c r="BX84" s="126"/>
      <c r="BY84" s="97">
        <f t="shared" ca="1" si="305"/>
        <v>0</v>
      </c>
      <c r="BZ84" s="97">
        <f t="shared" ca="1" si="272"/>
        <v>224200.16666666669</v>
      </c>
      <c r="CA84" s="151">
        <f t="shared" ca="1" si="306"/>
        <v>0</v>
      </c>
      <c r="CB84" s="188">
        <f t="shared" ca="1" si="307"/>
        <v>20381.833333333332</v>
      </c>
      <c r="CC84" s="144"/>
      <c r="CD84" s="126">
        <f t="shared" ca="1" si="308"/>
        <v>20381.833333333332</v>
      </c>
      <c r="CE84" s="126"/>
      <c r="CF84" s="97">
        <f t="shared" ca="1" si="309"/>
        <v>0</v>
      </c>
      <c r="CG84" s="97">
        <f t="shared" ca="1" si="274"/>
        <v>244582.00000000003</v>
      </c>
      <c r="CH84" s="151">
        <f t="shared" ca="1" si="310"/>
        <v>0</v>
      </c>
      <c r="CI84" s="188">
        <f t="shared" ca="1" si="311"/>
        <v>20381.833333333332</v>
      </c>
      <c r="CJ84" s="5"/>
      <c r="CK84" s="5"/>
      <c r="CL84" s="5"/>
    </row>
    <row r="85" spans="1:90" s="6" customFormat="1">
      <c r="A85" s="133" t="s">
        <v>146</v>
      </c>
      <c r="B85" s="63">
        <v>51353505</v>
      </c>
      <c r="C85" s="134">
        <f t="shared" ca="1" si="275"/>
        <v>3124030.08</v>
      </c>
      <c r="D85" s="78"/>
      <c r="E85" s="126">
        <v>306000</v>
      </c>
      <c r="F85" s="126"/>
      <c r="G85" s="104">
        <f t="shared" ca="1" si="251"/>
        <v>296957.03999999998</v>
      </c>
      <c r="H85" s="98">
        <f t="shared" si="276"/>
        <v>306000</v>
      </c>
      <c r="I85" s="57">
        <f t="shared" ca="1" si="252"/>
        <v>296957.03999999998</v>
      </c>
      <c r="J85" s="188">
        <f t="shared" ca="1" si="277"/>
        <v>-9042.960000000021</v>
      </c>
      <c r="K85" s="70"/>
      <c r="L85" s="126">
        <f t="shared" si="312"/>
        <v>306000</v>
      </c>
      <c r="M85" s="126"/>
      <c r="N85" s="97">
        <f t="shared" ca="1" si="278"/>
        <v>255318.00000000006</v>
      </c>
      <c r="O85" s="98">
        <f t="shared" si="279"/>
        <v>612000</v>
      </c>
      <c r="P85" s="151">
        <f t="shared" ca="1" si="280"/>
        <v>552275.04</v>
      </c>
      <c r="Q85" s="188">
        <f t="shared" ca="1" si="281"/>
        <v>50681.999999999942</v>
      </c>
      <c r="R85" s="70"/>
      <c r="S85" s="126">
        <f t="shared" si="254"/>
        <v>306000</v>
      </c>
      <c r="T85" s="126"/>
      <c r="U85" s="97">
        <f t="shared" ca="1" si="282"/>
        <v>256158</v>
      </c>
      <c r="V85" s="97">
        <f t="shared" si="255"/>
        <v>918000</v>
      </c>
      <c r="W85" s="151">
        <f t="shared" ca="1" si="283"/>
        <v>808433.04</v>
      </c>
      <c r="X85" s="188">
        <f t="shared" ca="1" si="284"/>
        <v>49842</v>
      </c>
      <c r="Y85" s="70"/>
      <c r="Z85" s="126">
        <f t="shared" si="256"/>
        <v>306000</v>
      </c>
      <c r="AA85" s="126"/>
      <c r="AB85" s="97">
        <f t="shared" ca="1" si="285"/>
        <v>256158</v>
      </c>
      <c r="AC85" s="97">
        <f t="shared" si="257"/>
        <v>1224000</v>
      </c>
      <c r="AD85" s="151">
        <f t="shared" ca="1" si="286"/>
        <v>1064591.04</v>
      </c>
      <c r="AE85" s="188">
        <f t="shared" ca="1" si="287"/>
        <v>49842</v>
      </c>
      <c r="AF85" s="70"/>
      <c r="AG85" s="126">
        <f t="shared" si="258"/>
        <v>306000</v>
      </c>
      <c r="AH85" s="126"/>
      <c r="AI85" s="97">
        <f t="shared" ca="1" si="288"/>
        <v>267924</v>
      </c>
      <c r="AJ85" s="97">
        <f t="shared" si="259"/>
        <v>1530000</v>
      </c>
      <c r="AK85" s="151">
        <f t="shared" ca="1" si="289"/>
        <v>1332515.04</v>
      </c>
      <c r="AL85" s="188">
        <f t="shared" ca="1" si="290"/>
        <v>38076</v>
      </c>
      <c r="AM85" s="70"/>
      <c r="AN85" s="126">
        <f t="shared" si="260"/>
        <v>306000</v>
      </c>
      <c r="AO85" s="126"/>
      <c r="AP85" s="97">
        <f t="shared" ca="1" si="291"/>
        <v>229500</v>
      </c>
      <c r="AQ85" s="97">
        <f t="shared" si="261"/>
        <v>1836000</v>
      </c>
      <c r="AR85" s="151">
        <f t="shared" ca="1" si="292"/>
        <v>1562015.04</v>
      </c>
      <c r="AS85" s="188">
        <f t="shared" ca="1" si="293"/>
        <v>76500</v>
      </c>
      <c r="AT85" s="70"/>
      <c r="AU85" s="126">
        <f t="shared" si="262"/>
        <v>306000</v>
      </c>
      <c r="AV85" s="126"/>
      <c r="AW85" s="97">
        <f t="shared" ca="1" si="294"/>
        <v>0</v>
      </c>
      <c r="AX85" s="126">
        <f t="shared" si="263"/>
        <v>2142000</v>
      </c>
      <c r="AY85" s="151">
        <f t="shared" ca="1" si="295"/>
        <v>1562015.04</v>
      </c>
      <c r="AZ85" s="188">
        <f t="shared" ca="1" si="296"/>
        <v>306000</v>
      </c>
      <c r="BA85" s="144"/>
      <c r="BB85" s="126">
        <f t="shared" si="264"/>
        <v>306000</v>
      </c>
      <c r="BC85" s="126"/>
      <c r="BD85" s="97">
        <f t="shared" ca="1" si="297"/>
        <v>366590.75</v>
      </c>
      <c r="BE85" s="97">
        <f t="shared" si="265"/>
        <v>2448000</v>
      </c>
      <c r="BF85" s="151">
        <f t="shared" ca="1" si="298"/>
        <v>1928605.79</v>
      </c>
      <c r="BG85" s="188">
        <f t="shared" ca="1" si="299"/>
        <v>-60590.75</v>
      </c>
      <c r="BH85" s="144"/>
      <c r="BI85" s="126">
        <f t="shared" si="266"/>
        <v>306000</v>
      </c>
      <c r="BJ85" s="126"/>
      <c r="BK85" s="97">
        <f t="shared" ca="1" si="480"/>
        <v>0</v>
      </c>
      <c r="BL85" s="97">
        <f t="shared" si="268"/>
        <v>2754000</v>
      </c>
      <c r="BM85" s="151">
        <f t="shared" ca="1" si="300"/>
        <v>0</v>
      </c>
      <c r="BN85" s="188">
        <f t="shared" ca="1" si="301"/>
        <v>306000</v>
      </c>
      <c r="BO85" s="144"/>
      <c r="BP85" s="126">
        <f t="shared" si="269"/>
        <v>306000</v>
      </c>
      <c r="BQ85" s="126"/>
      <c r="BR85" s="97">
        <f t="shared" ca="1" si="302"/>
        <v>0</v>
      </c>
      <c r="BS85" s="97">
        <f t="shared" si="270"/>
        <v>3060000</v>
      </c>
      <c r="BT85" s="151">
        <f t="shared" ca="1" si="303"/>
        <v>0</v>
      </c>
      <c r="BU85" s="188">
        <f t="shared" ca="1" si="304"/>
        <v>306000</v>
      </c>
      <c r="BV85" s="144"/>
      <c r="BW85" s="126">
        <f t="shared" si="271"/>
        <v>306000</v>
      </c>
      <c r="BX85" s="126"/>
      <c r="BY85" s="97">
        <f t="shared" ca="1" si="305"/>
        <v>0</v>
      </c>
      <c r="BZ85" s="97">
        <f t="shared" si="272"/>
        <v>3366000</v>
      </c>
      <c r="CA85" s="151">
        <f t="shared" ca="1" si="306"/>
        <v>0</v>
      </c>
      <c r="CB85" s="188">
        <f t="shared" ca="1" si="307"/>
        <v>306000</v>
      </c>
      <c r="CC85" s="144"/>
      <c r="CD85" s="126">
        <f t="shared" si="308"/>
        <v>306000</v>
      </c>
      <c r="CE85" s="126"/>
      <c r="CF85" s="97">
        <f t="shared" ca="1" si="309"/>
        <v>0</v>
      </c>
      <c r="CG85" s="97">
        <f t="shared" si="274"/>
        <v>3672000</v>
      </c>
      <c r="CH85" s="151">
        <f t="shared" ca="1" si="310"/>
        <v>0</v>
      </c>
      <c r="CI85" s="188">
        <f t="shared" ca="1" si="311"/>
        <v>306000</v>
      </c>
      <c r="CJ85" s="5"/>
      <c r="CK85" s="5"/>
      <c r="CL85" s="5"/>
    </row>
    <row r="86" spans="1:90" s="6" customFormat="1">
      <c r="A86" s="133" t="s">
        <v>147</v>
      </c>
      <c r="B86" s="63">
        <v>51355001</v>
      </c>
      <c r="C86" s="134">
        <f t="shared" ca="1" si="275"/>
        <v>314984</v>
      </c>
      <c r="D86" s="78"/>
      <c r="E86" s="126">
        <f ca="1">$C86/COUNTA(E$1:$CI$1)</f>
        <v>26248.666666666668</v>
      </c>
      <c r="F86" s="126"/>
      <c r="G86" s="104">
        <f t="shared" ca="1" si="251"/>
        <v>0</v>
      </c>
      <c r="H86" s="98">
        <f t="shared" ca="1" si="276"/>
        <v>26248.666666666668</v>
      </c>
      <c r="I86" s="57">
        <f t="shared" ca="1" si="252"/>
        <v>0</v>
      </c>
      <c r="J86" s="188">
        <f t="shared" ca="1" si="277"/>
        <v>-26248.666666666668</v>
      </c>
      <c r="K86" s="70"/>
      <c r="L86" s="126">
        <f t="shared" ca="1" si="312"/>
        <v>26248.666666666668</v>
      </c>
      <c r="M86" s="126"/>
      <c r="N86" s="97">
        <f t="shared" ca="1" si="278"/>
        <v>0</v>
      </c>
      <c r="O86" s="98">
        <f t="shared" ca="1" si="279"/>
        <v>52497.333333333336</v>
      </c>
      <c r="P86" s="151">
        <f t="shared" ca="1" si="280"/>
        <v>0</v>
      </c>
      <c r="Q86" s="188">
        <f t="shared" ca="1" si="281"/>
        <v>26248.666666666668</v>
      </c>
      <c r="R86" s="70"/>
      <c r="S86" s="126">
        <f t="shared" ca="1" si="254"/>
        <v>26248.666666666668</v>
      </c>
      <c r="T86" s="126"/>
      <c r="U86" s="97">
        <f t="shared" ca="1" si="282"/>
        <v>34050</v>
      </c>
      <c r="V86" s="97">
        <f t="shared" ca="1" si="255"/>
        <v>78746</v>
      </c>
      <c r="W86" s="151">
        <f t="shared" ca="1" si="283"/>
        <v>34050</v>
      </c>
      <c r="X86" s="188">
        <f t="shared" ca="1" si="284"/>
        <v>-7801.3333333333321</v>
      </c>
      <c r="Y86" s="70"/>
      <c r="Z86" s="126">
        <f t="shared" ca="1" si="256"/>
        <v>26248.666666666668</v>
      </c>
      <c r="AA86" s="126"/>
      <c r="AB86" s="97">
        <f t="shared" ca="1" si="285"/>
        <v>11700</v>
      </c>
      <c r="AC86" s="97">
        <f t="shared" ca="1" si="257"/>
        <v>104994.66666666667</v>
      </c>
      <c r="AD86" s="151">
        <f t="shared" ca="1" si="286"/>
        <v>45750</v>
      </c>
      <c r="AE86" s="188">
        <f t="shared" ca="1" si="287"/>
        <v>14548.666666666668</v>
      </c>
      <c r="AF86" s="70"/>
      <c r="AG86" s="126">
        <f t="shared" ca="1" si="258"/>
        <v>26248.666666666668</v>
      </c>
      <c r="AH86" s="126"/>
      <c r="AI86" s="97">
        <f t="shared" ca="1" si="288"/>
        <v>86700</v>
      </c>
      <c r="AJ86" s="97">
        <f t="shared" ca="1" si="259"/>
        <v>131243.33333333334</v>
      </c>
      <c r="AK86" s="151">
        <f t="shared" ca="1" si="289"/>
        <v>132450</v>
      </c>
      <c r="AL86" s="188">
        <f t="shared" ca="1" si="290"/>
        <v>-60451.333333333328</v>
      </c>
      <c r="AM86" s="70"/>
      <c r="AN86" s="126">
        <f t="shared" ca="1" si="260"/>
        <v>26248.666666666668</v>
      </c>
      <c r="AO86" s="126"/>
      <c r="AP86" s="97">
        <f t="shared" ca="1" si="291"/>
        <v>25042</v>
      </c>
      <c r="AQ86" s="97">
        <f t="shared" ca="1" si="261"/>
        <v>157492</v>
      </c>
      <c r="AR86" s="151">
        <f t="shared" ca="1" si="292"/>
        <v>157492</v>
      </c>
      <c r="AS86" s="188">
        <f t="shared" ca="1" si="293"/>
        <v>1206.6666666666679</v>
      </c>
      <c r="AT86" s="70"/>
      <c r="AU86" s="126">
        <f t="shared" ca="1" si="262"/>
        <v>26248.666666666668</v>
      </c>
      <c r="AV86" s="126"/>
      <c r="AW86" s="97">
        <f t="shared" ca="1" si="294"/>
        <v>0</v>
      </c>
      <c r="AX86" s="126">
        <f t="shared" ca="1" si="263"/>
        <v>183740.66666666666</v>
      </c>
      <c r="AY86" s="151">
        <f t="shared" ca="1" si="295"/>
        <v>157492</v>
      </c>
      <c r="AZ86" s="188">
        <f t="shared" ca="1" si="296"/>
        <v>26248.666666666668</v>
      </c>
      <c r="BA86" s="144"/>
      <c r="BB86" s="126">
        <f t="shared" ca="1" si="264"/>
        <v>26248.666666666668</v>
      </c>
      <c r="BC86" s="126"/>
      <c r="BD86" s="97">
        <f t="shared" ca="1" si="297"/>
        <v>12000</v>
      </c>
      <c r="BE86" s="97">
        <f t="shared" ca="1" si="265"/>
        <v>209989.33333333331</v>
      </c>
      <c r="BF86" s="151">
        <f t="shared" ca="1" si="298"/>
        <v>169492</v>
      </c>
      <c r="BG86" s="188">
        <f t="shared" ca="1" si="299"/>
        <v>14248.666666666668</v>
      </c>
      <c r="BH86" s="144"/>
      <c r="BI86" s="126">
        <f t="shared" ca="1" si="266"/>
        <v>26248.666666666668</v>
      </c>
      <c r="BJ86" s="126"/>
      <c r="BK86" s="97">
        <f t="shared" ca="1" si="480"/>
        <v>0</v>
      </c>
      <c r="BL86" s="97">
        <f t="shared" ca="1" si="268"/>
        <v>236237.99999999997</v>
      </c>
      <c r="BM86" s="151">
        <f t="shared" ca="1" si="300"/>
        <v>0</v>
      </c>
      <c r="BN86" s="188">
        <f t="shared" ca="1" si="301"/>
        <v>26248.666666666668</v>
      </c>
      <c r="BO86" s="144"/>
      <c r="BP86" s="126">
        <f t="shared" ca="1" si="269"/>
        <v>26248.666666666668</v>
      </c>
      <c r="BQ86" s="126"/>
      <c r="BR86" s="97">
        <f t="shared" ca="1" si="302"/>
        <v>0</v>
      </c>
      <c r="BS86" s="97">
        <f t="shared" ca="1" si="270"/>
        <v>262486.66666666663</v>
      </c>
      <c r="BT86" s="151">
        <f t="shared" ca="1" si="303"/>
        <v>0</v>
      </c>
      <c r="BU86" s="188">
        <f t="shared" ca="1" si="304"/>
        <v>26248.666666666668</v>
      </c>
      <c r="BV86" s="144"/>
      <c r="BW86" s="126">
        <f t="shared" ca="1" si="271"/>
        <v>26248.666666666668</v>
      </c>
      <c r="BX86" s="126"/>
      <c r="BY86" s="97">
        <f t="shared" ca="1" si="305"/>
        <v>0</v>
      </c>
      <c r="BZ86" s="97">
        <f t="shared" ca="1" si="272"/>
        <v>288735.33333333331</v>
      </c>
      <c r="CA86" s="151">
        <f t="shared" ca="1" si="306"/>
        <v>0</v>
      </c>
      <c r="CB86" s="188">
        <f t="shared" ca="1" si="307"/>
        <v>26248.666666666668</v>
      </c>
      <c r="CC86" s="144"/>
      <c r="CD86" s="126">
        <f t="shared" ca="1" si="308"/>
        <v>26248.666666666668</v>
      </c>
      <c r="CE86" s="126"/>
      <c r="CF86" s="97">
        <f t="shared" ca="1" si="309"/>
        <v>0</v>
      </c>
      <c r="CG86" s="97">
        <f t="shared" ca="1" si="274"/>
        <v>314984</v>
      </c>
      <c r="CH86" s="151">
        <f t="shared" ca="1" si="310"/>
        <v>0</v>
      </c>
      <c r="CI86" s="188">
        <f t="shared" ca="1" si="311"/>
        <v>26248.666666666668</v>
      </c>
      <c r="CJ86" s="5"/>
      <c r="CK86" s="5"/>
      <c r="CL86" s="5"/>
    </row>
    <row r="87" spans="1:90" s="6" customFormat="1">
      <c r="A87" s="133" t="s">
        <v>148</v>
      </c>
      <c r="B87" s="63">
        <v>51359501</v>
      </c>
      <c r="C87" s="134">
        <f t="shared" ca="1" si="275"/>
        <v>1192999.7</v>
      </c>
      <c r="D87" s="78"/>
      <c r="E87" s="126">
        <v>170000</v>
      </c>
      <c r="F87" s="126"/>
      <c r="G87" s="104">
        <f t="shared" ca="1" si="251"/>
        <v>96879</v>
      </c>
      <c r="H87" s="98">
        <f t="shared" si="276"/>
        <v>170000</v>
      </c>
      <c r="I87" s="57">
        <f t="shared" ca="1" si="252"/>
        <v>96879</v>
      </c>
      <c r="J87" s="188">
        <f t="shared" ca="1" si="277"/>
        <v>-73121</v>
      </c>
      <c r="K87" s="70"/>
      <c r="L87" s="126">
        <f t="shared" si="312"/>
        <v>170000</v>
      </c>
      <c r="M87" s="126"/>
      <c r="N87" s="97">
        <f t="shared" ca="1" si="278"/>
        <v>63518</v>
      </c>
      <c r="O87" s="98">
        <f t="shared" si="279"/>
        <v>340000</v>
      </c>
      <c r="P87" s="151">
        <f t="shared" ca="1" si="280"/>
        <v>160397</v>
      </c>
      <c r="Q87" s="188">
        <f t="shared" ca="1" si="281"/>
        <v>106482</v>
      </c>
      <c r="R87" s="70"/>
      <c r="S87" s="126">
        <f t="shared" si="254"/>
        <v>170000</v>
      </c>
      <c r="T87" s="126"/>
      <c r="U87" s="97">
        <f t="shared" ca="1" si="282"/>
        <v>152116</v>
      </c>
      <c r="V87" s="97">
        <f t="shared" si="255"/>
        <v>510000</v>
      </c>
      <c r="W87" s="151">
        <f t="shared" ca="1" si="283"/>
        <v>312513</v>
      </c>
      <c r="X87" s="188">
        <f t="shared" ca="1" si="284"/>
        <v>17884</v>
      </c>
      <c r="Y87" s="70"/>
      <c r="Z87" s="126">
        <f t="shared" si="256"/>
        <v>170000</v>
      </c>
      <c r="AA87" s="126"/>
      <c r="AB87" s="97">
        <f t="shared" ca="1" si="285"/>
        <v>43612.909999999974</v>
      </c>
      <c r="AC87" s="97">
        <f t="shared" si="257"/>
        <v>680000</v>
      </c>
      <c r="AD87" s="151">
        <f t="shared" ca="1" si="286"/>
        <v>356125.91</v>
      </c>
      <c r="AE87" s="188">
        <f t="shared" ca="1" si="287"/>
        <v>126387.09000000003</v>
      </c>
      <c r="AF87" s="70"/>
      <c r="AG87" s="126">
        <f t="shared" si="258"/>
        <v>170000</v>
      </c>
      <c r="AH87" s="126"/>
      <c r="AI87" s="97">
        <f t="shared" ca="1" si="288"/>
        <v>129661.03000000003</v>
      </c>
      <c r="AJ87" s="97">
        <f t="shared" si="259"/>
        <v>850000</v>
      </c>
      <c r="AK87" s="151">
        <f t="shared" ca="1" si="289"/>
        <v>485786.94</v>
      </c>
      <c r="AL87" s="188">
        <f t="shared" ca="1" si="290"/>
        <v>40338.969999999972</v>
      </c>
      <c r="AM87" s="70"/>
      <c r="AN87" s="126">
        <f t="shared" si="260"/>
        <v>170000</v>
      </c>
      <c r="AO87" s="126"/>
      <c r="AP87" s="97">
        <f t="shared" ca="1" si="291"/>
        <v>110712.90999999997</v>
      </c>
      <c r="AQ87" s="97">
        <f t="shared" si="261"/>
        <v>1020000</v>
      </c>
      <c r="AR87" s="151">
        <f t="shared" ca="1" si="292"/>
        <v>596499.85</v>
      </c>
      <c r="AS87" s="188">
        <f t="shared" ca="1" si="293"/>
        <v>59287.090000000026</v>
      </c>
      <c r="AT87" s="70"/>
      <c r="AU87" s="126">
        <f t="shared" si="262"/>
        <v>170000</v>
      </c>
      <c r="AV87" s="126"/>
      <c r="AW87" s="97">
        <f t="shared" ca="1" si="294"/>
        <v>110809.05000000005</v>
      </c>
      <c r="AX87" s="126">
        <f t="shared" si="263"/>
        <v>1190000</v>
      </c>
      <c r="AY87" s="151">
        <f t="shared" ca="1" si="295"/>
        <v>707308.9</v>
      </c>
      <c r="AZ87" s="188">
        <f t="shared" ca="1" si="296"/>
        <v>59190.949999999953</v>
      </c>
      <c r="BA87" s="144"/>
      <c r="BB87" s="126">
        <f t="shared" si="264"/>
        <v>170000</v>
      </c>
      <c r="BC87" s="126"/>
      <c r="BD87" s="97">
        <f t="shared" ca="1" si="297"/>
        <v>110652.92999999993</v>
      </c>
      <c r="BE87" s="97">
        <f t="shared" si="265"/>
        <v>1360000</v>
      </c>
      <c r="BF87" s="151">
        <f t="shared" ca="1" si="298"/>
        <v>817961.83</v>
      </c>
      <c r="BG87" s="188">
        <f t="shared" ca="1" si="299"/>
        <v>59347.070000000065</v>
      </c>
      <c r="BH87" s="144"/>
      <c r="BI87" s="126">
        <f t="shared" si="266"/>
        <v>170000</v>
      </c>
      <c r="BJ87" s="126"/>
      <c r="BK87" s="97">
        <f t="shared" ca="1" si="480"/>
        <v>0</v>
      </c>
      <c r="BL87" s="97">
        <f t="shared" si="268"/>
        <v>1530000</v>
      </c>
      <c r="BM87" s="151">
        <f t="shared" ca="1" si="300"/>
        <v>0</v>
      </c>
      <c r="BN87" s="188">
        <f t="shared" ca="1" si="301"/>
        <v>170000</v>
      </c>
      <c r="BO87" s="144"/>
      <c r="BP87" s="126">
        <f t="shared" si="269"/>
        <v>170000</v>
      </c>
      <c r="BQ87" s="126"/>
      <c r="BR87" s="97">
        <f t="shared" ca="1" si="302"/>
        <v>0</v>
      </c>
      <c r="BS87" s="97">
        <f t="shared" si="270"/>
        <v>1700000</v>
      </c>
      <c r="BT87" s="151">
        <f t="shared" ca="1" si="303"/>
        <v>0</v>
      </c>
      <c r="BU87" s="188">
        <f t="shared" ca="1" si="304"/>
        <v>170000</v>
      </c>
      <c r="BV87" s="144"/>
      <c r="BW87" s="126">
        <f t="shared" si="271"/>
        <v>170000</v>
      </c>
      <c r="BX87" s="126"/>
      <c r="BY87" s="97">
        <f t="shared" ca="1" si="305"/>
        <v>0</v>
      </c>
      <c r="BZ87" s="97">
        <f t="shared" si="272"/>
        <v>1870000</v>
      </c>
      <c r="CA87" s="151">
        <f t="shared" ca="1" si="306"/>
        <v>0</v>
      </c>
      <c r="CB87" s="188">
        <f t="shared" ca="1" si="307"/>
        <v>170000</v>
      </c>
      <c r="CC87" s="144"/>
      <c r="CD87" s="126">
        <f t="shared" si="308"/>
        <v>170000</v>
      </c>
      <c r="CE87" s="126"/>
      <c r="CF87" s="97">
        <f t="shared" ca="1" si="309"/>
        <v>0</v>
      </c>
      <c r="CG87" s="97">
        <f t="shared" si="274"/>
        <v>2040000</v>
      </c>
      <c r="CH87" s="151">
        <f t="shared" ca="1" si="310"/>
        <v>0</v>
      </c>
      <c r="CI87" s="188">
        <f t="shared" ca="1" si="311"/>
        <v>170000</v>
      </c>
      <c r="CJ87" s="5"/>
      <c r="CK87" s="5"/>
      <c r="CL87" s="5"/>
    </row>
    <row r="88" spans="1:90" s="6" customFormat="1">
      <c r="A88" s="133" t="s">
        <v>149</v>
      </c>
      <c r="B88" s="63">
        <v>51359505</v>
      </c>
      <c r="C88" s="134">
        <f t="shared" ca="1" si="275"/>
        <v>1000000</v>
      </c>
      <c r="D88" s="78"/>
      <c r="E88" s="126">
        <v>0</v>
      </c>
      <c r="F88" s="126"/>
      <c r="G88" s="104">
        <f t="shared" ca="1" si="251"/>
        <v>500000</v>
      </c>
      <c r="H88" s="98">
        <f t="shared" si="276"/>
        <v>0</v>
      </c>
      <c r="I88" s="57">
        <f t="shared" ca="1" si="252"/>
        <v>500000</v>
      </c>
      <c r="J88" s="188">
        <f t="shared" ca="1" si="277"/>
        <v>500000</v>
      </c>
      <c r="K88" s="70"/>
      <c r="L88" s="126">
        <f t="shared" si="312"/>
        <v>0</v>
      </c>
      <c r="M88" s="126"/>
      <c r="N88" s="97">
        <f t="shared" ca="1" si="278"/>
        <v>0</v>
      </c>
      <c r="O88" s="98">
        <f t="shared" si="279"/>
        <v>0</v>
      </c>
      <c r="P88" s="151">
        <f t="shared" ca="1" si="280"/>
        <v>500000</v>
      </c>
      <c r="Q88" s="188">
        <f t="shared" ca="1" si="281"/>
        <v>0</v>
      </c>
      <c r="R88" s="70"/>
      <c r="S88" s="126">
        <f t="shared" si="254"/>
        <v>0</v>
      </c>
      <c r="T88" s="126"/>
      <c r="U88" s="97">
        <f t="shared" ca="1" si="282"/>
        <v>0</v>
      </c>
      <c r="V88" s="97">
        <f t="shared" si="255"/>
        <v>0</v>
      </c>
      <c r="W88" s="151">
        <f t="shared" ca="1" si="283"/>
        <v>500000</v>
      </c>
      <c r="X88" s="188">
        <f t="shared" ca="1" si="284"/>
        <v>0</v>
      </c>
      <c r="Y88" s="70"/>
      <c r="Z88" s="126">
        <f t="shared" si="256"/>
        <v>0</v>
      </c>
      <c r="AA88" s="126"/>
      <c r="AB88" s="97">
        <f t="shared" ca="1" si="285"/>
        <v>0</v>
      </c>
      <c r="AC88" s="97">
        <f t="shared" si="257"/>
        <v>0</v>
      </c>
      <c r="AD88" s="151">
        <f t="shared" ca="1" si="286"/>
        <v>500000</v>
      </c>
      <c r="AE88" s="188">
        <f t="shared" ca="1" si="287"/>
        <v>0</v>
      </c>
      <c r="AF88" s="70"/>
      <c r="AG88" s="126">
        <f t="shared" si="258"/>
        <v>0</v>
      </c>
      <c r="AH88" s="126"/>
      <c r="AI88" s="97">
        <f t="shared" ca="1" si="288"/>
        <v>0</v>
      </c>
      <c r="AJ88" s="97">
        <f t="shared" si="259"/>
        <v>0</v>
      </c>
      <c r="AK88" s="151">
        <f t="shared" ca="1" si="289"/>
        <v>500000</v>
      </c>
      <c r="AL88" s="188">
        <f t="shared" ca="1" si="290"/>
        <v>0</v>
      </c>
      <c r="AM88" s="70"/>
      <c r="AN88" s="126">
        <f t="shared" si="260"/>
        <v>0</v>
      </c>
      <c r="AO88" s="126"/>
      <c r="AP88" s="97">
        <f t="shared" ca="1" si="291"/>
        <v>0</v>
      </c>
      <c r="AQ88" s="97">
        <f t="shared" si="261"/>
        <v>0</v>
      </c>
      <c r="AR88" s="151">
        <f t="shared" ca="1" si="292"/>
        <v>500000</v>
      </c>
      <c r="AS88" s="188">
        <f t="shared" ca="1" si="293"/>
        <v>0</v>
      </c>
      <c r="AT88" s="70"/>
      <c r="AU88" s="126">
        <f t="shared" si="262"/>
        <v>0</v>
      </c>
      <c r="AV88" s="126"/>
      <c r="AW88" s="97">
        <f t="shared" ca="1" si="294"/>
        <v>0</v>
      </c>
      <c r="AX88" s="126">
        <f t="shared" si="263"/>
        <v>0</v>
      </c>
      <c r="AY88" s="151">
        <f t="shared" ca="1" si="295"/>
        <v>500000</v>
      </c>
      <c r="AZ88" s="188">
        <f t="shared" ca="1" si="296"/>
        <v>0</v>
      </c>
      <c r="BA88" s="144"/>
      <c r="BB88" s="126">
        <f t="shared" si="264"/>
        <v>0</v>
      </c>
      <c r="BC88" s="126"/>
      <c r="BD88" s="97">
        <f t="shared" ca="1" si="297"/>
        <v>0</v>
      </c>
      <c r="BE88" s="97">
        <f t="shared" si="265"/>
        <v>0</v>
      </c>
      <c r="BF88" s="151">
        <f t="shared" ca="1" si="298"/>
        <v>500000</v>
      </c>
      <c r="BG88" s="188">
        <f t="shared" ca="1" si="299"/>
        <v>0</v>
      </c>
      <c r="BH88" s="144"/>
      <c r="BI88" s="126">
        <f t="shared" si="266"/>
        <v>0</v>
      </c>
      <c r="BJ88" s="126"/>
      <c r="BK88" s="97">
        <f t="shared" ca="1" si="480"/>
        <v>0</v>
      </c>
      <c r="BL88" s="97">
        <f t="shared" si="268"/>
        <v>0</v>
      </c>
      <c r="BM88" s="151">
        <f t="shared" ca="1" si="300"/>
        <v>0</v>
      </c>
      <c r="BN88" s="188">
        <f t="shared" ca="1" si="301"/>
        <v>0</v>
      </c>
      <c r="BO88" s="144"/>
      <c r="BP88" s="126">
        <f t="shared" si="269"/>
        <v>0</v>
      </c>
      <c r="BQ88" s="126"/>
      <c r="BR88" s="97">
        <f t="shared" ca="1" si="302"/>
        <v>0</v>
      </c>
      <c r="BS88" s="97">
        <f t="shared" si="270"/>
        <v>0</v>
      </c>
      <c r="BT88" s="151">
        <f t="shared" ca="1" si="303"/>
        <v>0</v>
      </c>
      <c r="BU88" s="188">
        <f t="shared" ca="1" si="304"/>
        <v>0</v>
      </c>
      <c r="BV88" s="144"/>
      <c r="BW88" s="126">
        <f t="shared" si="271"/>
        <v>0</v>
      </c>
      <c r="BX88" s="126"/>
      <c r="BY88" s="97">
        <f t="shared" ca="1" si="305"/>
        <v>0</v>
      </c>
      <c r="BZ88" s="97">
        <f t="shared" si="272"/>
        <v>0</v>
      </c>
      <c r="CA88" s="151">
        <f t="shared" ca="1" si="306"/>
        <v>0</v>
      </c>
      <c r="CB88" s="188">
        <f t="shared" ca="1" si="307"/>
        <v>0</v>
      </c>
      <c r="CC88" s="144"/>
      <c r="CD88" s="126">
        <f t="shared" si="308"/>
        <v>0</v>
      </c>
      <c r="CE88" s="126"/>
      <c r="CF88" s="97">
        <f t="shared" ca="1" si="309"/>
        <v>0</v>
      </c>
      <c r="CG88" s="97">
        <f t="shared" si="274"/>
        <v>0</v>
      </c>
      <c r="CH88" s="151">
        <f t="shared" ca="1" si="310"/>
        <v>0</v>
      </c>
      <c r="CI88" s="188">
        <f t="shared" ca="1" si="311"/>
        <v>0</v>
      </c>
      <c r="CJ88" s="5"/>
      <c r="CK88" s="5"/>
      <c r="CL88" s="5"/>
    </row>
    <row r="89" spans="1:90" s="6" customFormat="1">
      <c r="A89" s="133" t="s">
        <v>150</v>
      </c>
      <c r="B89" s="63">
        <v>51359590</v>
      </c>
      <c r="C89" s="134">
        <f t="shared" ca="1" si="275"/>
        <v>0</v>
      </c>
      <c r="D89" s="78"/>
      <c r="E89" s="126">
        <v>0</v>
      </c>
      <c r="F89" s="126"/>
      <c r="G89" s="104">
        <f t="shared" ca="1" si="251"/>
        <v>0</v>
      </c>
      <c r="H89" s="98">
        <f t="shared" si="276"/>
        <v>0</v>
      </c>
      <c r="I89" s="57">
        <f t="shared" ca="1" si="252"/>
        <v>0</v>
      </c>
      <c r="J89" s="188">
        <f t="shared" ca="1" si="277"/>
        <v>0</v>
      </c>
      <c r="K89" s="70"/>
      <c r="L89" s="126">
        <f t="shared" si="312"/>
        <v>0</v>
      </c>
      <c r="M89" s="126"/>
      <c r="N89" s="97">
        <f t="shared" ca="1" si="278"/>
        <v>0</v>
      </c>
      <c r="O89" s="98">
        <f t="shared" si="279"/>
        <v>0</v>
      </c>
      <c r="P89" s="151">
        <f t="shared" ca="1" si="280"/>
        <v>0</v>
      </c>
      <c r="Q89" s="188">
        <f t="shared" ca="1" si="281"/>
        <v>0</v>
      </c>
      <c r="R89" s="70"/>
      <c r="S89" s="126">
        <f t="shared" si="254"/>
        <v>0</v>
      </c>
      <c r="T89" s="126"/>
      <c r="U89" s="97">
        <f t="shared" ca="1" si="282"/>
        <v>0</v>
      </c>
      <c r="V89" s="97">
        <f t="shared" si="255"/>
        <v>0</v>
      </c>
      <c r="W89" s="151">
        <f t="shared" ca="1" si="283"/>
        <v>0</v>
      </c>
      <c r="X89" s="188">
        <f t="shared" ca="1" si="284"/>
        <v>0</v>
      </c>
      <c r="Y89" s="70"/>
      <c r="Z89" s="126">
        <f t="shared" si="256"/>
        <v>0</v>
      </c>
      <c r="AA89" s="126"/>
      <c r="AB89" s="97">
        <f t="shared" ca="1" si="285"/>
        <v>0</v>
      </c>
      <c r="AC89" s="97">
        <f t="shared" si="257"/>
        <v>0</v>
      </c>
      <c r="AD89" s="151">
        <f t="shared" ca="1" si="286"/>
        <v>0</v>
      </c>
      <c r="AE89" s="188">
        <f t="shared" ca="1" si="287"/>
        <v>0</v>
      </c>
      <c r="AF89" s="70"/>
      <c r="AG89" s="126">
        <f t="shared" si="258"/>
        <v>0</v>
      </c>
      <c r="AH89" s="126"/>
      <c r="AI89" s="97">
        <f t="shared" ca="1" si="288"/>
        <v>0</v>
      </c>
      <c r="AJ89" s="97">
        <f t="shared" si="259"/>
        <v>0</v>
      </c>
      <c r="AK89" s="151">
        <f t="shared" ca="1" si="289"/>
        <v>0</v>
      </c>
      <c r="AL89" s="188">
        <f t="shared" ca="1" si="290"/>
        <v>0</v>
      </c>
      <c r="AM89" s="70"/>
      <c r="AN89" s="126">
        <f t="shared" si="260"/>
        <v>0</v>
      </c>
      <c r="AO89" s="126"/>
      <c r="AP89" s="97">
        <f t="shared" ca="1" si="291"/>
        <v>0</v>
      </c>
      <c r="AQ89" s="97">
        <f t="shared" si="261"/>
        <v>0</v>
      </c>
      <c r="AR89" s="151">
        <f t="shared" ca="1" si="292"/>
        <v>0</v>
      </c>
      <c r="AS89" s="188">
        <f t="shared" ca="1" si="293"/>
        <v>0</v>
      </c>
      <c r="AT89" s="70"/>
      <c r="AU89" s="126">
        <f t="shared" si="262"/>
        <v>0</v>
      </c>
      <c r="AV89" s="126"/>
      <c r="AW89" s="97">
        <f t="shared" ca="1" si="294"/>
        <v>0</v>
      </c>
      <c r="AX89" s="126">
        <f t="shared" si="263"/>
        <v>0</v>
      </c>
      <c r="AY89" s="151">
        <f t="shared" ca="1" si="295"/>
        <v>0</v>
      </c>
      <c r="AZ89" s="188">
        <f t="shared" ca="1" si="296"/>
        <v>0</v>
      </c>
      <c r="BA89" s="144"/>
      <c r="BB89" s="126">
        <f t="shared" si="264"/>
        <v>0</v>
      </c>
      <c r="BC89" s="126"/>
      <c r="BD89" s="97">
        <f t="shared" ca="1" si="297"/>
        <v>0</v>
      </c>
      <c r="BE89" s="97">
        <f t="shared" si="265"/>
        <v>0</v>
      </c>
      <c r="BF89" s="151">
        <f t="shared" ca="1" si="298"/>
        <v>0</v>
      </c>
      <c r="BG89" s="188">
        <f t="shared" ca="1" si="299"/>
        <v>0</v>
      </c>
      <c r="BH89" s="144"/>
      <c r="BI89" s="126">
        <f t="shared" si="266"/>
        <v>0</v>
      </c>
      <c r="BJ89" s="126"/>
      <c r="BK89" s="97">
        <f t="shared" ca="1" si="480"/>
        <v>0</v>
      </c>
      <c r="BL89" s="97">
        <f t="shared" si="268"/>
        <v>0</v>
      </c>
      <c r="BM89" s="151">
        <f t="shared" ca="1" si="300"/>
        <v>0</v>
      </c>
      <c r="BN89" s="188">
        <f t="shared" ca="1" si="301"/>
        <v>0</v>
      </c>
      <c r="BO89" s="144"/>
      <c r="BP89" s="126">
        <f t="shared" si="269"/>
        <v>0</v>
      </c>
      <c r="BQ89" s="126"/>
      <c r="BR89" s="97">
        <f t="shared" ca="1" si="302"/>
        <v>0</v>
      </c>
      <c r="BS89" s="97">
        <f t="shared" si="270"/>
        <v>0</v>
      </c>
      <c r="BT89" s="151">
        <f t="shared" ca="1" si="303"/>
        <v>0</v>
      </c>
      <c r="BU89" s="188">
        <f t="shared" ca="1" si="304"/>
        <v>0</v>
      </c>
      <c r="BV89" s="144"/>
      <c r="BW89" s="126">
        <f t="shared" si="271"/>
        <v>0</v>
      </c>
      <c r="BX89" s="126"/>
      <c r="BY89" s="97">
        <f t="shared" ca="1" si="305"/>
        <v>0</v>
      </c>
      <c r="BZ89" s="97">
        <f t="shared" si="272"/>
        <v>0</v>
      </c>
      <c r="CA89" s="151">
        <f t="shared" ca="1" si="306"/>
        <v>0</v>
      </c>
      <c r="CB89" s="188">
        <f t="shared" ca="1" si="307"/>
        <v>0</v>
      </c>
      <c r="CC89" s="144"/>
      <c r="CD89" s="126">
        <f t="shared" si="308"/>
        <v>0</v>
      </c>
      <c r="CE89" s="126"/>
      <c r="CF89" s="97">
        <f t="shared" ca="1" si="309"/>
        <v>0</v>
      </c>
      <c r="CG89" s="97">
        <f t="shared" si="274"/>
        <v>0</v>
      </c>
      <c r="CH89" s="151">
        <f t="shared" ca="1" si="310"/>
        <v>0</v>
      </c>
      <c r="CI89" s="188">
        <f t="shared" ca="1" si="311"/>
        <v>0</v>
      </c>
      <c r="CJ89" s="5"/>
      <c r="CK89" s="5"/>
      <c r="CL89" s="5"/>
    </row>
    <row r="90" spans="1:90" s="6" customFormat="1">
      <c r="A90" s="133" t="s">
        <v>201</v>
      </c>
      <c r="B90" s="63">
        <v>51359595</v>
      </c>
      <c r="C90" s="134">
        <f t="shared" ca="1" si="275"/>
        <v>4140354.34</v>
      </c>
      <c r="D90" s="78"/>
      <c r="E90" s="126">
        <v>150000</v>
      </c>
      <c r="F90" s="126"/>
      <c r="G90" s="104">
        <f t="shared" ca="1" si="251"/>
        <v>621371.53</v>
      </c>
      <c r="H90" s="98">
        <f t="shared" si="276"/>
        <v>150000</v>
      </c>
      <c r="I90" s="57">
        <f t="shared" ca="1" si="252"/>
        <v>621371.53</v>
      </c>
      <c r="J90" s="188">
        <f t="shared" ca="1" si="277"/>
        <v>471371.53</v>
      </c>
      <c r="K90" s="70"/>
      <c r="L90" s="126">
        <f t="shared" si="312"/>
        <v>150000</v>
      </c>
      <c r="M90" s="126"/>
      <c r="N90" s="97">
        <f t="shared" ca="1" si="278"/>
        <v>315538.73</v>
      </c>
      <c r="O90" s="98">
        <f t="shared" si="279"/>
        <v>300000</v>
      </c>
      <c r="P90" s="151">
        <f t="shared" ca="1" si="280"/>
        <v>936910.26</v>
      </c>
      <c r="Q90" s="188">
        <f t="shared" ca="1" si="281"/>
        <v>-165538.72999999998</v>
      </c>
      <c r="R90" s="70"/>
      <c r="S90" s="126">
        <f t="shared" si="254"/>
        <v>150000</v>
      </c>
      <c r="T90" s="126"/>
      <c r="U90" s="97">
        <f t="shared" ca="1" si="282"/>
        <v>304869.40999999992</v>
      </c>
      <c r="V90" s="97">
        <f t="shared" si="255"/>
        <v>450000</v>
      </c>
      <c r="W90" s="151">
        <f t="shared" ca="1" si="283"/>
        <v>1241779.67</v>
      </c>
      <c r="X90" s="188">
        <f t="shared" ca="1" si="284"/>
        <v>-154869.40999999992</v>
      </c>
      <c r="Y90" s="70"/>
      <c r="Z90" s="126">
        <f t="shared" si="256"/>
        <v>150000</v>
      </c>
      <c r="AA90" s="126"/>
      <c r="AB90" s="97">
        <f t="shared" ca="1" si="285"/>
        <v>333230.24</v>
      </c>
      <c r="AC90" s="97">
        <f t="shared" si="257"/>
        <v>600000</v>
      </c>
      <c r="AD90" s="151">
        <f t="shared" ca="1" si="286"/>
        <v>1575009.91</v>
      </c>
      <c r="AE90" s="188">
        <f t="shared" ca="1" si="287"/>
        <v>-183230.24</v>
      </c>
      <c r="AF90" s="70"/>
      <c r="AG90" s="126">
        <f t="shared" si="258"/>
        <v>150000</v>
      </c>
      <c r="AH90" s="126"/>
      <c r="AI90" s="97">
        <f t="shared" ca="1" si="288"/>
        <v>0</v>
      </c>
      <c r="AJ90" s="97">
        <f t="shared" si="259"/>
        <v>750000</v>
      </c>
      <c r="AK90" s="151">
        <f t="shared" ca="1" si="289"/>
        <v>1575009.91</v>
      </c>
      <c r="AL90" s="188">
        <f t="shared" ca="1" si="290"/>
        <v>150000</v>
      </c>
      <c r="AM90" s="70"/>
      <c r="AN90" s="126">
        <f t="shared" si="260"/>
        <v>150000</v>
      </c>
      <c r="AO90" s="126"/>
      <c r="AP90" s="97">
        <f t="shared" ca="1" si="291"/>
        <v>495167.26</v>
      </c>
      <c r="AQ90" s="97">
        <f t="shared" si="261"/>
        <v>900000</v>
      </c>
      <c r="AR90" s="151">
        <f t="shared" ca="1" si="292"/>
        <v>2070177.17</v>
      </c>
      <c r="AS90" s="188">
        <f t="shared" ca="1" si="293"/>
        <v>-345167.26</v>
      </c>
      <c r="AT90" s="70"/>
      <c r="AU90" s="126">
        <f t="shared" si="262"/>
        <v>150000</v>
      </c>
      <c r="AV90" s="126"/>
      <c r="AW90" s="97">
        <f t="shared" ca="1" si="294"/>
        <v>729402.66000000015</v>
      </c>
      <c r="AX90" s="126">
        <f t="shared" si="263"/>
        <v>1050000</v>
      </c>
      <c r="AY90" s="151">
        <f t="shared" ca="1" si="295"/>
        <v>2799579.83</v>
      </c>
      <c r="AZ90" s="188">
        <f t="shared" ca="1" si="296"/>
        <v>-579402.66000000015</v>
      </c>
      <c r="BA90" s="144"/>
      <c r="BB90" s="126">
        <f t="shared" si="264"/>
        <v>150000</v>
      </c>
      <c r="BC90" s="126"/>
      <c r="BD90" s="97">
        <f t="shared" ca="1" si="297"/>
        <v>803572.21999999974</v>
      </c>
      <c r="BE90" s="97">
        <f t="shared" si="265"/>
        <v>1200000</v>
      </c>
      <c r="BF90" s="151">
        <f t="shared" ca="1" si="298"/>
        <v>3603152.05</v>
      </c>
      <c r="BG90" s="188">
        <f t="shared" ca="1" si="299"/>
        <v>-653572.21999999974</v>
      </c>
      <c r="BH90" s="144"/>
      <c r="BI90" s="126">
        <f t="shared" si="266"/>
        <v>150000</v>
      </c>
      <c r="BJ90" s="126"/>
      <c r="BK90" s="97">
        <f t="shared" ca="1" si="480"/>
        <v>0</v>
      </c>
      <c r="BL90" s="97">
        <f t="shared" si="268"/>
        <v>1350000</v>
      </c>
      <c r="BM90" s="151">
        <f t="shared" ca="1" si="300"/>
        <v>0</v>
      </c>
      <c r="BN90" s="188">
        <f t="shared" ca="1" si="301"/>
        <v>150000</v>
      </c>
      <c r="BO90" s="144"/>
      <c r="BP90" s="126">
        <f t="shared" si="269"/>
        <v>150000</v>
      </c>
      <c r="BQ90" s="126"/>
      <c r="BR90" s="97">
        <f t="shared" ca="1" si="302"/>
        <v>0</v>
      </c>
      <c r="BS90" s="97">
        <f t="shared" si="270"/>
        <v>1500000</v>
      </c>
      <c r="BT90" s="151">
        <f t="shared" ca="1" si="303"/>
        <v>0</v>
      </c>
      <c r="BU90" s="188">
        <f t="shared" ca="1" si="304"/>
        <v>150000</v>
      </c>
      <c r="BV90" s="144"/>
      <c r="BW90" s="126">
        <f t="shared" si="271"/>
        <v>150000</v>
      </c>
      <c r="BX90" s="126"/>
      <c r="BY90" s="97">
        <f t="shared" ca="1" si="305"/>
        <v>0</v>
      </c>
      <c r="BZ90" s="97">
        <f t="shared" si="272"/>
        <v>1650000</v>
      </c>
      <c r="CA90" s="151">
        <f t="shared" ca="1" si="306"/>
        <v>0</v>
      </c>
      <c r="CB90" s="188">
        <f t="shared" ca="1" si="307"/>
        <v>150000</v>
      </c>
      <c r="CC90" s="144"/>
      <c r="CD90" s="126">
        <f t="shared" si="308"/>
        <v>150000</v>
      </c>
      <c r="CE90" s="126"/>
      <c r="CF90" s="97">
        <f t="shared" ca="1" si="309"/>
        <v>0</v>
      </c>
      <c r="CG90" s="97">
        <f t="shared" si="274"/>
        <v>1800000</v>
      </c>
      <c r="CH90" s="151">
        <f t="shared" ca="1" si="310"/>
        <v>0</v>
      </c>
      <c r="CI90" s="188">
        <f t="shared" ca="1" si="311"/>
        <v>150000</v>
      </c>
      <c r="CJ90" s="5"/>
      <c r="CK90" s="5"/>
      <c r="CL90" s="5"/>
    </row>
    <row r="91" spans="1:90" s="6" customFormat="1">
      <c r="A91" s="133" t="s">
        <v>151</v>
      </c>
      <c r="B91" s="63">
        <v>51400501</v>
      </c>
      <c r="C91" s="134">
        <f t="shared" ca="1" si="275"/>
        <v>0</v>
      </c>
      <c r="D91" s="78"/>
      <c r="E91" s="126">
        <f ca="1">$C91/COUNTA(E$1:$CI$1)</f>
        <v>0</v>
      </c>
      <c r="F91" s="126"/>
      <c r="G91" s="104">
        <f t="shared" ca="1" si="251"/>
        <v>0</v>
      </c>
      <c r="H91" s="98">
        <f t="shared" ca="1" si="276"/>
        <v>0</v>
      </c>
      <c r="I91" s="57">
        <f t="shared" ca="1" si="252"/>
        <v>0</v>
      </c>
      <c r="J91" s="188">
        <f t="shared" ca="1" si="277"/>
        <v>0</v>
      </c>
      <c r="K91" s="70"/>
      <c r="L91" s="126">
        <f t="shared" ca="1" si="312"/>
        <v>0</v>
      </c>
      <c r="M91" s="126"/>
      <c r="N91" s="97">
        <f t="shared" ca="1" si="278"/>
        <v>0</v>
      </c>
      <c r="O91" s="98">
        <f t="shared" ca="1" si="279"/>
        <v>0</v>
      </c>
      <c r="P91" s="151">
        <f t="shared" ca="1" si="280"/>
        <v>0</v>
      </c>
      <c r="Q91" s="188">
        <f t="shared" ca="1" si="281"/>
        <v>0</v>
      </c>
      <c r="R91" s="70"/>
      <c r="S91" s="126">
        <f t="shared" ca="1" si="254"/>
        <v>0</v>
      </c>
      <c r="T91" s="126"/>
      <c r="U91" s="97">
        <f t="shared" ca="1" si="282"/>
        <v>0</v>
      </c>
      <c r="V91" s="97">
        <f t="shared" ca="1" si="255"/>
        <v>0</v>
      </c>
      <c r="W91" s="151">
        <f t="shared" ca="1" si="283"/>
        <v>0</v>
      </c>
      <c r="X91" s="188">
        <f t="shared" ca="1" si="284"/>
        <v>0</v>
      </c>
      <c r="Y91" s="70"/>
      <c r="Z91" s="126">
        <f t="shared" ca="1" si="256"/>
        <v>0</v>
      </c>
      <c r="AA91" s="126"/>
      <c r="AB91" s="97">
        <f t="shared" ca="1" si="285"/>
        <v>0</v>
      </c>
      <c r="AC91" s="97">
        <f t="shared" ca="1" si="257"/>
        <v>0</v>
      </c>
      <c r="AD91" s="151">
        <f t="shared" ca="1" si="286"/>
        <v>0</v>
      </c>
      <c r="AE91" s="188">
        <f t="shared" ca="1" si="287"/>
        <v>0</v>
      </c>
      <c r="AF91" s="70"/>
      <c r="AG91" s="126">
        <f t="shared" ca="1" si="258"/>
        <v>0</v>
      </c>
      <c r="AH91" s="126"/>
      <c r="AI91" s="97">
        <f t="shared" ca="1" si="288"/>
        <v>0</v>
      </c>
      <c r="AJ91" s="97">
        <f t="shared" ca="1" si="259"/>
        <v>0</v>
      </c>
      <c r="AK91" s="151">
        <f t="shared" ca="1" si="289"/>
        <v>0</v>
      </c>
      <c r="AL91" s="188">
        <f t="shared" ca="1" si="290"/>
        <v>0</v>
      </c>
      <c r="AM91" s="70"/>
      <c r="AN91" s="126">
        <f t="shared" ca="1" si="260"/>
        <v>0</v>
      </c>
      <c r="AO91" s="126"/>
      <c r="AP91" s="97">
        <f t="shared" ca="1" si="291"/>
        <v>0</v>
      </c>
      <c r="AQ91" s="97">
        <f t="shared" ca="1" si="261"/>
        <v>0</v>
      </c>
      <c r="AR91" s="151">
        <f t="shared" ca="1" si="292"/>
        <v>0</v>
      </c>
      <c r="AS91" s="188">
        <f t="shared" ca="1" si="293"/>
        <v>0</v>
      </c>
      <c r="AT91" s="70"/>
      <c r="AU91" s="126">
        <f t="shared" ca="1" si="262"/>
        <v>0</v>
      </c>
      <c r="AV91" s="126"/>
      <c r="AW91" s="97">
        <f t="shared" ca="1" si="294"/>
        <v>0</v>
      </c>
      <c r="AX91" s="126">
        <f t="shared" ca="1" si="263"/>
        <v>0</v>
      </c>
      <c r="AY91" s="151">
        <f t="shared" ca="1" si="295"/>
        <v>0</v>
      </c>
      <c r="AZ91" s="188">
        <f t="shared" ca="1" si="296"/>
        <v>0</v>
      </c>
      <c r="BA91" s="144"/>
      <c r="BB91" s="126">
        <f t="shared" ca="1" si="264"/>
        <v>0</v>
      </c>
      <c r="BC91" s="126"/>
      <c r="BD91" s="97">
        <f t="shared" ca="1" si="297"/>
        <v>0</v>
      </c>
      <c r="BE91" s="97">
        <f t="shared" ca="1" si="265"/>
        <v>0</v>
      </c>
      <c r="BF91" s="151">
        <f t="shared" ca="1" si="298"/>
        <v>0</v>
      </c>
      <c r="BG91" s="188">
        <f t="shared" ca="1" si="299"/>
        <v>0</v>
      </c>
      <c r="BH91" s="144"/>
      <c r="BI91" s="126">
        <f t="shared" ca="1" si="266"/>
        <v>0</v>
      </c>
      <c r="BJ91" s="126"/>
      <c r="BK91" s="97">
        <f t="shared" ca="1" si="480"/>
        <v>0</v>
      </c>
      <c r="BL91" s="97">
        <f t="shared" ca="1" si="268"/>
        <v>0</v>
      </c>
      <c r="BM91" s="151">
        <f t="shared" ca="1" si="300"/>
        <v>0</v>
      </c>
      <c r="BN91" s="188">
        <f t="shared" ca="1" si="301"/>
        <v>0</v>
      </c>
      <c r="BO91" s="144"/>
      <c r="BP91" s="126">
        <f t="shared" ca="1" si="269"/>
        <v>0</v>
      </c>
      <c r="BQ91" s="126"/>
      <c r="BR91" s="97">
        <f t="shared" ca="1" si="302"/>
        <v>0</v>
      </c>
      <c r="BS91" s="97">
        <f t="shared" ca="1" si="270"/>
        <v>0</v>
      </c>
      <c r="BT91" s="151">
        <f t="shared" ca="1" si="303"/>
        <v>0</v>
      </c>
      <c r="BU91" s="188">
        <f t="shared" ca="1" si="304"/>
        <v>0</v>
      </c>
      <c r="BV91" s="144"/>
      <c r="BW91" s="126">
        <f t="shared" ca="1" si="271"/>
        <v>0</v>
      </c>
      <c r="BX91" s="126"/>
      <c r="BY91" s="97">
        <f t="shared" ca="1" si="305"/>
        <v>0</v>
      </c>
      <c r="BZ91" s="97">
        <f t="shared" ca="1" si="272"/>
        <v>0</v>
      </c>
      <c r="CA91" s="151">
        <f t="shared" ca="1" si="306"/>
        <v>0</v>
      </c>
      <c r="CB91" s="188">
        <f t="shared" ca="1" si="307"/>
        <v>0</v>
      </c>
      <c r="CC91" s="144"/>
      <c r="CD91" s="126">
        <f t="shared" ca="1" si="308"/>
        <v>0</v>
      </c>
      <c r="CE91" s="126"/>
      <c r="CF91" s="97">
        <f t="shared" ca="1" si="309"/>
        <v>0</v>
      </c>
      <c r="CG91" s="97">
        <f t="shared" ca="1" si="274"/>
        <v>0</v>
      </c>
      <c r="CH91" s="151">
        <f t="shared" ca="1" si="310"/>
        <v>0</v>
      </c>
      <c r="CI91" s="188">
        <f t="shared" ca="1" si="311"/>
        <v>0</v>
      </c>
      <c r="CJ91" s="5"/>
      <c r="CK91" s="5"/>
      <c r="CL91" s="5"/>
    </row>
    <row r="92" spans="1:90" s="6" customFormat="1">
      <c r="A92" s="133" t="s">
        <v>104</v>
      </c>
      <c r="B92" s="63">
        <v>51401001</v>
      </c>
      <c r="C92" s="134">
        <f t="shared" ca="1" si="275"/>
        <v>3486000</v>
      </c>
      <c r="D92" s="78"/>
      <c r="E92" s="126">
        <f ca="1">$C92/COUNTA(E$1:$CI$1)</f>
        <v>290500</v>
      </c>
      <c r="F92" s="126"/>
      <c r="G92" s="104">
        <f t="shared" ca="1" si="251"/>
        <v>0</v>
      </c>
      <c r="H92" s="98">
        <f t="shared" ca="1" si="276"/>
        <v>290500</v>
      </c>
      <c r="I92" s="57">
        <f t="shared" ca="1" si="252"/>
        <v>0</v>
      </c>
      <c r="J92" s="188">
        <f t="shared" ca="1" si="277"/>
        <v>-290500</v>
      </c>
      <c r="K92" s="70"/>
      <c r="L92" s="126">
        <f t="shared" ca="1" si="312"/>
        <v>290500</v>
      </c>
      <c r="M92" s="126"/>
      <c r="N92" s="97">
        <f t="shared" ca="1" si="278"/>
        <v>0</v>
      </c>
      <c r="O92" s="98">
        <f t="shared" ca="1" si="279"/>
        <v>581000</v>
      </c>
      <c r="P92" s="151">
        <f t="shared" ca="1" si="280"/>
        <v>0</v>
      </c>
      <c r="Q92" s="188">
        <f t="shared" ca="1" si="281"/>
        <v>290500</v>
      </c>
      <c r="R92" s="70"/>
      <c r="S92" s="126">
        <f t="shared" ca="1" si="254"/>
        <v>290500</v>
      </c>
      <c r="T92" s="126"/>
      <c r="U92" s="97">
        <f t="shared" ca="1" si="282"/>
        <v>1743000</v>
      </c>
      <c r="V92" s="97">
        <f t="shared" ca="1" si="255"/>
        <v>871500</v>
      </c>
      <c r="W92" s="151">
        <f t="shared" ca="1" si="283"/>
        <v>1743000</v>
      </c>
      <c r="X92" s="188">
        <f t="shared" ca="1" si="284"/>
        <v>-1452500</v>
      </c>
      <c r="Y92" s="70"/>
      <c r="Z92" s="126">
        <f t="shared" ca="1" si="256"/>
        <v>290500</v>
      </c>
      <c r="AA92" s="126"/>
      <c r="AB92" s="97">
        <f t="shared" ca="1" si="285"/>
        <v>0</v>
      </c>
      <c r="AC92" s="97">
        <f t="shared" ca="1" si="257"/>
        <v>1162000</v>
      </c>
      <c r="AD92" s="151">
        <f t="shared" ca="1" si="286"/>
        <v>1743000</v>
      </c>
      <c r="AE92" s="188">
        <f t="shared" ca="1" si="287"/>
        <v>290500</v>
      </c>
      <c r="AF92" s="70"/>
      <c r="AG92" s="126">
        <f t="shared" ca="1" si="258"/>
        <v>290500</v>
      </c>
      <c r="AH92" s="126"/>
      <c r="AI92" s="97">
        <f t="shared" ca="1" si="288"/>
        <v>0</v>
      </c>
      <c r="AJ92" s="97">
        <f t="shared" ca="1" si="259"/>
        <v>1452500</v>
      </c>
      <c r="AK92" s="151">
        <f t="shared" ca="1" si="289"/>
        <v>1743000</v>
      </c>
      <c r="AL92" s="188">
        <f t="shared" ca="1" si="290"/>
        <v>290500</v>
      </c>
      <c r="AM92" s="70"/>
      <c r="AN92" s="126">
        <f t="shared" ca="1" si="260"/>
        <v>290500</v>
      </c>
      <c r="AO92" s="126"/>
      <c r="AP92" s="97">
        <f t="shared" ca="1" si="291"/>
        <v>0</v>
      </c>
      <c r="AQ92" s="97">
        <f t="shared" ca="1" si="261"/>
        <v>1743000</v>
      </c>
      <c r="AR92" s="151">
        <f t="shared" ca="1" si="292"/>
        <v>1743000</v>
      </c>
      <c r="AS92" s="188">
        <f t="shared" ca="1" si="293"/>
        <v>290500</v>
      </c>
      <c r="AT92" s="70"/>
      <c r="AU92" s="126">
        <f t="shared" ca="1" si="262"/>
        <v>290500</v>
      </c>
      <c r="AV92" s="126"/>
      <c r="AW92" s="97">
        <f t="shared" ca="1" si="294"/>
        <v>0</v>
      </c>
      <c r="AX92" s="126">
        <f t="shared" ca="1" si="263"/>
        <v>2033500</v>
      </c>
      <c r="AY92" s="151">
        <f t="shared" ca="1" si="295"/>
        <v>1743000</v>
      </c>
      <c r="AZ92" s="188">
        <f t="shared" ca="1" si="296"/>
        <v>290500</v>
      </c>
      <c r="BA92" s="144"/>
      <c r="BB92" s="126">
        <f t="shared" ca="1" si="264"/>
        <v>290500</v>
      </c>
      <c r="BC92" s="126"/>
      <c r="BD92" s="97">
        <f t="shared" ca="1" si="297"/>
        <v>0</v>
      </c>
      <c r="BE92" s="97">
        <f t="shared" ca="1" si="265"/>
        <v>2324000</v>
      </c>
      <c r="BF92" s="151">
        <f t="shared" ca="1" si="298"/>
        <v>1743000</v>
      </c>
      <c r="BG92" s="188">
        <f t="shared" ca="1" si="299"/>
        <v>290500</v>
      </c>
      <c r="BH92" s="144"/>
      <c r="BI92" s="126">
        <f t="shared" ca="1" si="266"/>
        <v>290500</v>
      </c>
      <c r="BJ92" s="126"/>
      <c r="BK92" s="97">
        <f t="shared" ca="1" si="480"/>
        <v>0</v>
      </c>
      <c r="BL92" s="97">
        <f t="shared" ca="1" si="268"/>
        <v>2614500</v>
      </c>
      <c r="BM92" s="151">
        <f t="shared" ca="1" si="300"/>
        <v>0</v>
      </c>
      <c r="BN92" s="188">
        <f t="shared" ca="1" si="301"/>
        <v>290500</v>
      </c>
      <c r="BO92" s="144"/>
      <c r="BP92" s="126">
        <f t="shared" ca="1" si="269"/>
        <v>290500</v>
      </c>
      <c r="BQ92" s="126"/>
      <c r="BR92" s="97">
        <f t="shared" ca="1" si="302"/>
        <v>0</v>
      </c>
      <c r="BS92" s="97">
        <f t="shared" ca="1" si="270"/>
        <v>2905000</v>
      </c>
      <c r="BT92" s="151">
        <f t="shared" ca="1" si="303"/>
        <v>0</v>
      </c>
      <c r="BU92" s="188">
        <f t="shared" ca="1" si="304"/>
        <v>290500</v>
      </c>
      <c r="BV92" s="144"/>
      <c r="BW92" s="126">
        <f t="shared" ca="1" si="271"/>
        <v>290500</v>
      </c>
      <c r="BX92" s="126"/>
      <c r="BY92" s="97">
        <f t="shared" ca="1" si="305"/>
        <v>0</v>
      </c>
      <c r="BZ92" s="97">
        <f t="shared" ca="1" si="272"/>
        <v>3195500</v>
      </c>
      <c r="CA92" s="151">
        <f t="shared" ca="1" si="306"/>
        <v>0</v>
      </c>
      <c r="CB92" s="188">
        <f t="shared" ca="1" si="307"/>
        <v>290500</v>
      </c>
      <c r="CC92" s="144"/>
      <c r="CD92" s="126">
        <f t="shared" ca="1" si="308"/>
        <v>290500</v>
      </c>
      <c r="CE92" s="126"/>
      <c r="CF92" s="97">
        <f t="shared" ca="1" si="309"/>
        <v>0</v>
      </c>
      <c r="CG92" s="97">
        <f t="shared" ca="1" si="274"/>
        <v>3486000</v>
      </c>
      <c r="CH92" s="151">
        <f t="shared" ca="1" si="310"/>
        <v>0</v>
      </c>
      <c r="CI92" s="188">
        <f t="shared" ca="1" si="311"/>
        <v>290500</v>
      </c>
      <c r="CJ92" s="5"/>
      <c r="CK92" s="5"/>
      <c r="CL92" s="5"/>
    </row>
    <row r="93" spans="1:90" s="6" customFormat="1">
      <c r="A93" s="133" t="s">
        <v>105</v>
      </c>
      <c r="B93" s="63">
        <v>51401501</v>
      </c>
      <c r="C93" s="134">
        <f t="shared" ca="1" si="275"/>
        <v>255480</v>
      </c>
      <c r="D93" s="78"/>
      <c r="E93" s="126">
        <f ca="1">$C93/COUNTA(E$1:$CI$1)</f>
        <v>21290</v>
      </c>
      <c r="F93" s="126"/>
      <c r="G93" s="104">
        <f t="shared" ca="1" si="251"/>
        <v>0</v>
      </c>
      <c r="H93" s="98">
        <f t="shared" ca="1" si="276"/>
        <v>21290</v>
      </c>
      <c r="I93" s="57">
        <f t="shared" ca="1" si="252"/>
        <v>0</v>
      </c>
      <c r="J93" s="188">
        <f t="shared" ca="1" si="277"/>
        <v>-21290</v>
      </c>
      <c r="K93" s="70"/>
      <c r="L93" s="126">
        <f t="shared" ca="1" si="312"/>
        <v>21290</v>
      </c>
      <c r="M93" s="126"/>
      <c r="N93" s="97">
        <f t="shared" ca="1" si="278"/>
        <v>0</v>
      </c>
      <c r="O93" s="98">
        <f t="shared" ca="1" si="279"/>
        <v>42580</v>
      </c>
      <c r="P93" s="151">
        <f t="shared" ca="1" si="280"/>
        <v>0</v>
      </c>
      <c r="Q93" s="188">
        <f t="shared" ca="1" si="281"/>
        <v>21290</v>
      </c>
      <c r="R93" s="70"/>
      <c r="S93" s="126">
        <f t="shared" ca="1" si="254"/>
        <v>21290</v>
      </c>
      <c r="T93" s="126"/>
      <c r="U93" s="97">
        <f t="shared" ca="1" si="282"/>
        <v>0</v>
      </c>
      <c r="V93" s="97">
        <f t="shared" ca="1" si="255"/>
        <v>63870</v>
      </c>
      <c r="W93" s="151">
        <f t="shared" ca="1" si="283"/>
        <v>0</v>
      </c>
      <c r="X93" s="188">
        <f t="shared" ca="1" si="284"/>
        <v>21290</v>
      </c>
      <c r="Y93" s="70"/>
      <c r="Z93" s="126">
        <f t="shared" ca="1" si="256"/>
        <v>21290</v>
      </c>
      <c r="AA93" s="126"/>
      <c r="AB93" s="97">
        <f t="shared" ca="1" si="285"/>
        <v>12900</v>
      </c>
      <c r="AC93" s="97">
        <f t="shared" ca="1" si="257"/>
        <v>85160</v>
      </c>
      <c r="AD93" s="151">
        <f t="shared" ca="1" si="286"/>
        <v>12900</v>
      </c>
      <c r="AE93" s="188">
        <f t="shared" ca="1" si="287"/>
        <v>8390</v>
      </c>
      <c r="AF93" s="70"/>
      <c r="AG93" s="126">
        <f t="shared" ca="1" si="258"/>
        <v>21290</v>
      </c>
      <c r="AH93" s="126"/>
      <c r="AI93" s="97">
        <f t="shared" ca="1" si="288"/>
        <v>114840</v>
      </c>
      <c r="AJ93" s="97">
        <f t="shared" ca="1" si="259"/>
        <v>106450</v>
      </c>
      <c r="AK93" s="151">
        <f t="shared" ca="1" si="289"/>
        <v>127740</v>
      </c>
      <c r="AL93" s="188">
        <f t="shared" ca="1" si="290"/>
        <v>-93550</v>
      </c>
      <c r="AM93" s="70"/>
      <c r="AN93" s="126">
        <f t="shared" ca="1" si="260"/>
        <v>21290</v>
      </c>
      <c r="AO93" s="126"/>
      <c r="AP93" s="97">
        <f t="shared" ca="1" si="291"/>
        <v>0</v>
      </c>
      <c r="AQ93" s="97">
        <f t="shared" ca="1" si="261"/>
        <v>127740</v>
      </c>
      <c r="AR93" s="151">
        <f t="shared" ca="1" si="292"/>
        <v>127740</v>
      </c>
      <c r="AS93" s="188">
        <f t="shared" ca="1" si="293"/>
        <v>21290</v>
      </c>
      <c r="AT93" s="70"/>
      <c r="AU93" s="126">
        <f t="shared" ca="1" si="262"/>
        <v>21290</v>
      </c>
      <c r="AV93" s="126"/>
      <c r="AW93" s="97">
        <f t="shared" ca="1" si="294"/>
        <v>0</v>
      </c>
      <c r="AX93" s="126">
        <f t="shared" ca="1" si="263"/>
        <v>149030</v>
      </c>
      <c r="AY93" s="151">
        <f t="shared" ca="1" si="295"/>
        <v>127740</v>
      </c>
      <c r="AZ93" s="188">
        <f t="shared" ca="1" si="296"/>
        <v>21290</v>
      </c>
      <c r="BA93" s="144"/>
      <c r="BB93" s="126">
        <f t="shared" ca="1" si="264"/>
        <v>21290</v>
      </c>
      <c r="BC93" s="126"/>
      <c r="BD93" s="97">
        <f t="shared" ca="1" si="297"/>
        <v>0</v>
      </c>
      <c r="BE93" s="97">
        <f t="shared" ca="1" si="265"/>
        <v>170320</v>
      </c>
      <c r="BF93" s="151">
        <f t="shared" ca="1" si="298"/>
        <v>127740</v>
      </c>
      <c r="BG93" s="188">
        <f t="shared" ca="1" si="299"/>
        <v>21290</v>
      </c>
      <c r="BH93" s="144"/>
      <c r="BI93" s="126">
        <f t="shared" ca="1" si="266"/>
        <v>21290</v>
      </c>
      <c r="BJ93" s="126"/>
      <c r="BK93" s="97">
        <f t="shared" ca="1" si="480"/>
        <v>0</v>
      </c>
      <c r="BL93" s="97">
        <f t="shared" ca="1" si="268"/>
        <v>191610</v>
      </c>
      <c r="BM93" s="151">
        <f t="shared" ca="1" si="300"/>
        <v>0</v>
      </c>
      <c r="BN93" s="188">
        <f t="shared" ca="1" si="301"/>
        <v>21290</v>
      </c>
      <c r="BO93" s="144"/>
      <c r="BP93" s="126">
        <f t="shared" ca="1" si="269"/>
        <v>21290</v>
      </c>
      <c r="BQ93" s="126"/>
      <c r="BR93" s="97">
        <f t="shared" ca="1" si="302"/>
        <v>0</v>
      </c>
      <c r="BS93" s="97">
        <f t="shared" ca="1" si="270"/>
        <v>212900</v>
      </c>
      <c r="BT93" s="151">
        <f t="shared" ca="1" si="303"/>
        <v>0</v>
      </c>
      <c r="BU93" s="188">
        <f t="shared" ca="1" si="304"/>
        <v>21290</v>
      </c>
      <c r="BV93" s="144"/>
      <c r="BW93" s="126">
        <f t="shared" ca="1" si="271"/>
        <v>21290</v>
      </c>
      <c r="BX93" s="126"/>
      <c r="BY93" s="97">
        <f t="shared" ca="1" si="305"/>
        <v>0</v>
      </c>
      <c r="BZ93" s="97">
        <f t="shared" ca="1" si="272"/>
        <v>234190</v>
      </c>
      <c r="CA93" s="151">
        <f t="shared" ca="1" si="306"/>
        <v>0</v>
      </c>
      <c r="CB93" s="188">
        <f t="shared" ca="1" si="307"/>
        <v>21290</v>
      </c>
      <c r="CC93" s="144"/>
      <c r="CD93" s="126">
        <f t="shared" ca="1" si="308"/>
        <v>21290</v>
      </c>
      <c r="CE93" s="126"/>
      <c r="CF93" s="97">
        <f t="shared" ca="1" si="309"/>
        <v>0</v>
      </c>
      <c r="CG93" s="97">
        <f t="shared" ca="1" si="274"/>
        <v>255480</v>
      </c>
      <c r="CH93" s="151">
        <f t="shared" ca="1" si="310"/>
        <v>0</v>
      </c>
      <c r="CI93" s="188">
        <f t="shared" ca="1" si="311"/>
        <v>21290</v>
      </c>
      <c r="CJ93" s="5"/>
      <c r="CK93" s="5"/>
      <c r="CL93" s="5"/>
    </row>
    <row r="94" spans="1:90" s="6" customFormat="1">
      <c r="A94" s="133" t="s">
        <v>152</v>
      </c>
      <c r="B94" s="63">
        <v>51452001</v>
      </c>
      <c r="C94" s="134">
        <f t="shared" ca="1" si="275"/>
        <v>0</v>
      </c>
      <c r="D94" s="78"/>
      <c r="E94" s="126">
        <f ca="1">$C94/COUNTA(E$1:$CI$1)</f>
        <v>0</v>
      </c>
      <c r="F94" s="126"/>
      <c r="G94" s="104">
        <f t="shared" ca="1" si="251"/>
        <v>0</v>
      </c>
      <c r="H94" s="98">
        <f t="shared" ca="1" si="276"/>
        <v>0</v>
      </c>
      <c r="I94" s="57">
        <f t="shared" ca="1" si="252"/>
        <v>0</v>
      </c>
      <c r="J94" s="188">
        <f t="shared" ca="1" si="277"/>
        <v>0</v>
      </c>
      <c r="K94" s="70"/>
      <c r="L94" s="126">
        <f t="shared" ca="1" si="312"/>
        <v>0</v>
      </c>
      <c r="M94" s="126"/>
      <c r="N94" s="97">
        <f t="shared" ca="1" si="278"/>
        <v>0</v>
      </c>
      <c r="O94" s="98">
        <f t="shared" ca="1" si="279"/>
        <v>0</v>
      </c>
      <c r="P94" s="151">
        <f t="shared" ca="1" si="280"/>
        <v>0</v>
      </c>
      <c r="Q94" s="188">
        <f t="shared" ca="1" si="281"/>
        <v>0</v>
      </c>
      <c r="R94" s="70"/>
      <c r="S94" s="126">
        <f t="shared" ca="1" si="254"/>
        <v>0</v>
      </c>
      <c r="T94" s="126"/>
      <c r="U94" s="97">
        <f t="shared" ca="1" si="282"/>
        <v>0</v>
      </c>
      <c r="V94" s="97">
        <f t="shared" ca="1" si="255"/>
        <v>0</v>
      </c>
      <c r="W94" s="151">
        <f t="shared" ca="1" si="283"/>
        <v>0</v>
      </c>
      <c r="X94" s="188">
        <f t="shared" ca="1" si="284"/>
        <v>0</v>
      </c>
      <c r="Y94" s="70"/>
      <c r="Z94" s="126">
        <f t="shared" ca="1" si="256"/>
        <v>0</v>
      </c>
      <c r="AA94" s="126"/>
      <c r="AB94" s="97">
        <f t="shared" ca="1" si="285"/>
        <v>0</v>
      </c>
      <c r="AC94" s="97">
        <f t="shared" ca="1" si="257"/>
        <v>0</v>
      </c>
      <c r="AD94" s="151">
        <f t="shared" ca="1" si="286"/>
        <v>0</v>
      </c>
      <c r="AE94" s="188">
        <f t="shared" ca="1" si="287"/>
        <v>0</v>
      </c>
      <c r="AF94" s="70"/>
      <c r="AG94" s="126">
        <f t="shared" ca="1" si="258"/>
        <v>0</v>
      </c>
      <c r="AH94" s="126"/>
      <c r="AI94" s="97">
        <f t="shared" ca="1" si="288"/>
        <v>0</v>
      </c>
      <c r="AJ94" s="97">
        <f t="shared" ca="1" si="259"/>
        <v>0</v>
      </c>
      <c r="AK94" s="151">
        <f t="shared" ca="1" si="289"/>
        <v>0</v>
      </c>
      <c r="AL94" s="188">
        <f t="shared" ca="1" si="290"/>
        <v>0</v>
      </c>
      <c r="AM94" s="70"/>
      <c r="AN94" s="126">
        <f t="shared" ca="1" si="260"/>
        <v>0</v>
      </c>
      <c r="AO94" s="126"/>
      <c r="AP94" s="97">
        <f t="shared" ca="1" si="291"/>
        <v>0</v>
      </c>
      <c r="AQ94" s="97">
        <f t="shared" ca="1" si="261"/>
        <v>0</v>
      </c>
      <c r="AR94" s="151">
        <f t="shared" ca="1" si="292"/>
        <v>0</v>
      </c>
      <c r="AS94" s="188">
        <f t="shared" ca="1" si="293"/>
        <v>0</v>
      </c>
      <c r="AT94" s="70"/>
      <c r="AU94" s="126">
        <f t="shared" ca="1" si="262"/>
        <v>0</v>
      </c>
      <c r="AV94" s="126"/>
      <c r="AW94" s="97">
        <f t="shared" ca="1" si="294"/>
        <v>0</v>
      </c>
      <c r="AX94" s="126">
        <f t="shared" ca="1" si="263"/>
        <v>0</v>
      </c>
      <c r="AY94" s="151">
        <f t="shared" ca="1" si="295"/>
        <v>0</v>
      </c>
      <c r="AZ94" s="188">
        <f t="shared" ca="1" si="296"/>
        <v>0</v>
      </c>
      <c r="BA94" s="144"/>
      <c r="BB94" s="126">
        <f t="shared" ca="1" si="264"/>
        <v>0</v>
      </c>
      <c r="BC94" s="126"/>
      <c r="BD94" s="97">
        <f t="shared" ca="1" si="297"/>
        <v>0</v>
      </c>
      <c r="BE94" s="97">
        <f t="shared" ca="1" si="265"/>
        <v>0</v>
      </c>
      <c r="BF94" s="151">
        <f t="shared" ca="1" si="298"/>
        <v>0</v>
      </c>
      <c r="BG94" s="188">
        <f t="shared" ca="1" si="299"/>
        <v>0</v>
      </c>
      <c r="BH94" s="144"/>
      <c r="BI94" s="126">
        <f t="shared" ca="1" si="266"/>
        <v>0</v>
      </c>
      <c r="BJ94" s="126"/>
      <c r="BK94" s="97">
        <f t="shared" ca="1" si="480"/>
        <v>0</v>
      </c>
      <c r="BL94" s="97">
        <f t="shared" ca="1" si="268"/>
        <v>0</v>
      </c>
      <c r="BM94" s="151">
        <f t="shared" ca="1" si="300"/>
        <v>0</v>
      </c>
      <c r="BN94" s="188">
        <f t="shared" ca="1" si="301"/>
        <v>0</v>
      </c>
      <c r="BO94" s="144"/>
      <c r="BP94" s="126">
        <f t="shared" ca="1" si="269"/>
        <v>0</v>
      </c>
      <c r="BQ94" s="126"/>
      <c r="BR94" s="97">
        <f t="shared" ca="1" si="302"/>
        <v>0</v>
      </c>
      <c r="BS94" s="97">
        <f t="shared" ca="1" si="270"/>
        <v>0</v>
      </c>
      <c r="BT94" s="151">
        <f t="shared" ca="1" si="303"/>
        <v>0</v>
      </c>
      <c r="BU94" s="188">
        <f t="shared" ca="1" si="304"/>
        <v>0</v>
      </c>
      <c r="BV94" s="144"/>
      <c r="BW94" s="126">
        <f t="shared" ca="1" si="271"/>
        <v>0</v>
      </c>
      <c r="BX94" s="126"/>
      <c r="BY94" s="97">
        <f t="shared" ca="1" si="305"/>
        <v>0</v>
      </c>
      <c r="BZ94" s="97">
        <f t="shared" ca="1" si="272"/>
        <v>0</v>
      </c>
      <c r="CA94" s="151">
        <f t="shared" ca="1" si="306"/>
        <v>0</v>
      </c>
      <c r="CB94" s="188">
        <f t="shared" ca="1" si="307"/>
        <v>0</v>
      </c>
      <c r="CC94" s="144"/>
      <c r="CD94" s="126">
        <f t="shared" ca="1" si="308"/>
        <v>0</v>
      </c>
      <c r="CE94" s="126"/>
      <c r="CF94" s="97">
        <f t="shared" ca="1" si="309"/>
        <v>0</v>
      </c>
      <c r="CG94" s="97">
        <f t="shared" ca="1" si="274"/>
        <v>0</v>
      </c>
      <c r="CH94" s="151">
        <f t="shared" ca="1" si="310"/>
        <v>0</v>
      </c>
      <c r="CI94" s="188">
        <f t="shared" ca="1" si="311"/>
        <v>0</v>
      </c>
      <c r="CJ94" s="5"/>
      <c r="CK94" s="5"/>
      <c r="CL94" s="5"/>
    </row>
    <row r="95" spans="1:90" s="6" customFormat="1">
      <c r="A95" s="133" t="s">
        <v>153</v>
      </c>
      <c r="B95" s="63">
        <v>51452501</v>
      </c>
      <c r="C95" s="134">
        <f t="shared" ca="1" si="275"/>
        <v>60000</v>
      </c>
      <c r="D95" s="78"/>
      <c r="E95" s="126">
        <f ca="1">$C95/COUNTA(E$1:$CI$1)</f>
        <v>5000</v>
      </c>
      <c r="F95" s="126"/>
      <c r="G95" s="104">
        <f t="shared" ca="1" si="251"/>
        <v>0</v>
      </c>
      <c r="H95" s="98">
        <f t="shared" ca="1" si="276"/>
        <v>5000</v>
      </c>
      <c r="I95" s="57">
        <f t="shared" ca="1" si="252"/>
        <v>0</v>
      </c>
      <c r="J95" s="188">
        <f t="shared" ca="1" si="277"/>
        <v>-5000</v>
      </c>
      <c r="K95" s="70"/>
      <c r="L95" s="126">
        <f t="shared" ca="1" si="312"/>
        <v>5000</v>
      </c>
      <c r="M95" s="126"/>
      <c r="N95" s="97">
        <f t="shared" ca="1" si="278"/>
        <v>0</v>
      </c>
      <c r="O95" s="98">
        <f t="shared" ca="1" si="279"/>
        <v>10000</v>
      </c>
      <c r="P95" s="151">
        <f t="shared" ca="1" si="280"/>
        <v>0</v>
      </c>
      <c r="Q95" s="188">
        <f t="shared" ca="1" si="281"/>
        <v>5000</v>
      </c>
      <c r="R95" s="70"/>
      <c r="S95" s="126">
        <f t="shared" ca="1" si="254"/>
        <v>5000</v>
      </c>
      <c r="T95" s="126"/>
      <c r="U95" s="97">
        <f t="shared" ca="1" si="282"/>
        <v>0</v>
      </c>
      <c r="V95" s="97">
        <f t="shared" ca="1" si="255"/>
        <v>15000</v>
      </c>
      <c r="W95" s="151">
        <f t="shared" ca="1" si="283"/>
        <v>0</v>
      </c>
      <c r="X95" s="188">
        <f t="shared" ca="1" si="284"/>
        <v>5000</v>
      </c>
      <c r="Y95" s="70"/>
      <c r="Z95" s="126">
        <f t="shared" ca="1" si="256"/>
        <v>5000</v>
      </c>
      <c r="AA95" s="126"/>
      <c r="AB95" s="97">
        <f t="shared" ca="1" si="285"/>
        <v>0</v>
      </c>
      <c r="AC95" s="97">
        <f t="shared" ca="1" si="257"/>
        <v>20000</v>
      </c>
      <c r="AD95" s="151">
        <f t="shared" ca="1" si="286"/>
        <v>0</v>
      </c>
      <c r="AE95" s="188">
        <f t="shared" ca="1" si="287"/>
        <v>5000</v>
      </c>
      <c r="AF95" s="70"/>
      <c r="AG95" s="126">
        <f t="shared" ca="1" si="258"/>
        <v>5000</v>
      </c>
      <c r="AH95" s="126"/>
      <c r="AI95" s="97">
        <f t="shared" ca="1" si="288"/>
        <v>0</v>
      </c>
      <c r="AJ95" s="97">
        <f t="shared" ca="1" si="259"/>
        <v>25000</v>
      </c>
      <c r="AK95" s="151">
        <f t="shared" ca="1" si="289"/>
        <v>0</v>
      </c>
      <c r="AL95" s="188">
        <f t="shared" ca="1" si="290"/>
        <v>5000</v>
      </c>
      <c r="AM95" s="70"/>
      <c r="AN95" s="126">
        <f t="shared" ca="1" si="260"/>
        <v>5000</v>
      </c>
      <c r="AO95" s="126"/>
      <c r="AP95" s="97">
        <f t="shared" ca="1" si="291"/>
        <v>30000</v>
      </c>
      <c r="AQ95" s="97">
        <f t="shared" ca="1" si="261"/>
        <v>30000</v>
      </c>
      <c r="AR95" s="151">
        <f t="shared" ca="1" si="292"/>
        <v>30000</v>
      </c>
      <c r="AS95" s="188">
        <f t="shared" ca="1" si="293"/>
        <v>-25000</v>
      </c>
      <c r="AT95" s="70"/>
      <c r="AU95" s="126">
        <f t="shared" ca="1" si="262"/>
        <v>5000</v>
      </c>
      <c r="AV95" s="126"/>
      <c r="AW95" s="97">
        <f t="shared" ca="1" si="294"/>
        <v>621000</v>
      </c>
      <c r="AX95" s="126">
        <f t="shared" ca="1" si="263"/>
        <v>35000</v>
      </c>
      <c r="AY95" s="151">
        <f t="shared" ca="1" si="295"/>
        <v>651000</v>
      </c>
      <c r="AZ95" s="188">
        <f t="shared" ca="1" si="296"/>
        <v>-616000</v>
      </c>
      <c r="BA95" s="144"/>
      <c r="BB95" s="126">
        <f t="shared" ca="1" si="264"/>
        <v>5000</v>
      </c>
      <c r="BC95" s="126"/>
      <c r="BD95" s="97">
        <f t="shared" ca="1" si="297"/>
        <v>40000</v>
      </c>
      <c r="BE95" s="97">
        <f t="shared" ca="1" si="265"/>
        <v>40000</v>
      </c>
      <c r="BF95" s="151">
        <f t="shared" ca="1" si="298"/>
        <v>691000</v>
      </c>
      <c r="BG95" s="188">
        <f t="shared" ca="1" si="299"/>
        <v>-35000</v>
      </c>
      <c r="BH95" s="144"/>
      <c r="BI95" s="126">
        <f t="shared" ca="1" si="266"/>
        <v>5000</v>
      </c>
      <c r="BJ95" s="126"/>
      <c r="BK95" s="97">
        <f t="shared" ca="1" si="480"/>
        <v>0</v>
      </c>
      <c r="BL95" s="97">
        <f t="shared" ca="1" si="268"/>
        <v>45000</v>
      </c>
      <c r="BM95" s="151">
        <f t="shared" ca="1" si="300"/>
        <v>0</v>
      </c>
      <c r="BN95" s="188">
        <f t="shared" ca="1" si="301"/>
        <v>5000</v>
      </c>
      <c r="BO95" s="144"/>
      <c r="BP95" s="126">
        <f t="shared" ca="1" si="269"/>
        <v>5000</v>
      </c>
      <c r="BQ95" s="126"/>
      <c r="BR95" s="97">
        <f t="shared" ca="1" si="302"/>
        <v>0</v>
      </c>
      <c r="BS95" s="97">
        <f t="shared" ca="1" si="270"/>
        <v>50000</v>
      </c>
      <c r="BT95" s="151">
        <f t="shared" ca="1" si="303"/>
        <v>0</v>
      </c>
      <c r="BU95" s="188">
        <f t="shared" ca="1" si="304"/>
        <v>5000</v>
      </c>
      <c r="BV95" s="144"/>
      <c r="BW95" s="126">
        <f t="shared" ca="1" si="271"/>
        <v>5000</v>
      </c>
      <c r="BX95" s="126"/>
      <c r="BY95" s="97">
        <f t="shared" ca="1" si="305"/>
        <v>0</v>
      </c>
      <c r="BZ95" s="97">
        <f t="shared" ca="1" si="272"/>
        <v>55000</v>
      </c>
      <c r="CA95" s="151">
        <f t="shared" ca="1" si="306"/>
        <v>0</v>
      </c>
      <c r="CB95" s="188">
        <f t="shared" ca="1" si="307"/>
        <v>5000</v>
      </c>
      <c r="CC95" s="144"/>
      <c r="CD95" s="126">
        <f t="shared" ca="1" si="308"/>
        <v>5000</v>
      </c>
      <c r="CE95" s="126"/>
      <c r="CF95" s="97">
        <f t="shared" ca="1" si="309"/>
        <v>0</v>
      </c>
      <c r="CG95" s="97">
        <f t="shared" ca="1" si="274"/>
        <v>60000</v>
      </c>
      <c r="CH95" s="151">
        <f t="shared" ca="1" si="310"/>
        <v>0</v>
      </c>
      <c r="CI95" s="188">
        <f t="shared" ca="1" si="311"/>
        <v>5000</v>
      </c>
      <c r="CJ95" s="5"/>
      <c r="CK95" s="5"/>
      <c r="CL95" s="5"/>
    </row>
    <row r="96" spans="1:90" s="6" customFormat="1">
      <c r="A96" s="133" t="s">
        <v>202</v>
      </c>
      <c r="B96" s="63">
        <v>51453001</v>
      </c>
      <c r="C96" s="134">
        <f t="shared" ca="1" si="275"/>
        <v>756302</v>
      </c>
      <c r="D96" s="78"/>
      <c r="E96" s="126">
        <f ca="1">$C96/COUNTA(E$1:$CI$1)</f>
        <v>63025.166666666664</v>
      </c>
      <c r="F96" s="126"/>
      <c r="G96" s="104">
        <f t="shared" ca="1" si="251"/>
        <v>0</v>
      </c>
      <c r="H96" s="98">
        <f t="shared" ca="1" si="276"/>
        <v>63025.166666666664</v>
      </c>
      <c r="I96" s="57">
        <f t="shared" ca="1" si="252"/>
        <v>0</v>
      </c>
      <c r="J96" s="188">
        <f t="shared" ca="1" si="277"/>
        <v>-63025.166666666664</v>
      </c>
      <c r="K96" s="70"/>
      <c r="L96" s="126">
        <f t="shared" ca="1" si="312"/>
        <v>63025.166666666664</v>
      </c>
      <c r="M96" s="126"/>
      <c r="N96" s="97">
        <f t="shared" ca="1" si="278"/>
        <v>378151</v>
      </c>
      <c r="O96" s="98">
        <f t="shared" ca="1" si="279"/>
        <v>126050.33333333333</v>
      </c>
      <c r="P96" s="151">
        <f t="shared" ca="1" si="280"/>
        <v>378151</v>
      </c>
      <c r="Q96" s="188">
        <f t="shared" ca="1" si="281"/>
        <v>-315125.83333333331</v>
      </c>
      <c r="R96" s="70"/>
      <c r="S96" s="126">
        <f t="shared" ca="1" si="254"/>
        <v>63025.166666666664</v>
      </c>
      <c r="T96" s="126"/>
      <c r="U96" s="97">
        <f t="shared" ca="1" si="282"/>
        <v>0</v>
      </c>
      <c r="V96" s="97">
        <f t="shared" ca="1" si="255"/>
        <v>189075.5</v>
      </c>
      <c r="W96" s="151">
        <f t="shared" ca="1" si="283"/>
        <v>378151</v>
      </c>
      <c r="X96" s="188">
        <f t="shared" ca="1" si="284"/>
        <v>63025.166666666664</v>
      </c>
      <c r="Y96" s="70"/>
      <c r="Z96" s="126">
        <f t="shared" ca="1" si="256"/>
        <v>63025.166666666664</v>
      </c>
      <c r="AA96" s="126"/>
      <c r="AB96" s="97">
        <f t="shared" ca="1" si="285"/>
        <v>0</v>
      </c>
      <c r="AC96" s="97">
        <f t="shared" ca="1" si="257"/>
        <v>252100.66666666666</v>
      </c>
      <c r="AD96" s="151">
        <f t="shared" ca="1" si="286"/>
        <v>378151</v>
      </c>
      <c r="AE96" s="188">
        <f t="shared" ca="1" si="287"/>
        <v>63025.166666666664</v>
      </c>
      <c r="AF96" s="70"/>
      <c r="AG96" s="126">
        <f t="shared" ca="1" si="258"/>
        <v>63025.166666666664</v>
      </c>
      <c r="AH96" s="126"/>
      <c r="AI96" s="97">
        <f t="shared" ca="1" si="288"/>
        <v>0</v>
      </c>
      <c r="AJ96" s="97">
        <f t="shared" ca="1" si="259"/>
        <v>315125.83333333331</v>
      </c>
      <c r="AK96" s="151">
        <f t="shared" ca="1" si="289"/>
        <v>378151</v>
      </c>
      <c r="AL96" s="188">
        <f t="shared" ca="1" si="290"/>
        <v>63025.166666666664</v>
      </c>
      <c r="AM96" s="70"/>
      <c r="AN96" s="126">
        <f t="shared" ca="1" si="260"/>
        <v>63025.166666666664</v>
      </c>
      <c r="AO96" s="126"/>
      <c r="AP96" s="97">
        <f t="shared" ca="1" si="291"/>
        <v>0</v>
      </c>
      <c r="AQ96" s="97">
        <f t="shared" ca="1" si="261"/>
        <v>378151</v>
      </c>
      <c r="AR96" s="151">
        <f t="shared" ca="1" si="292"/>
        <v>378151</v>
      </c>
      <c r="AS96" s="188">
        <f t="shared" ca="1" si="293"/>
        <v>63025.166666666664</v>
      </c>
      <c r="AT96" s="70"/>
      <c r="AU96" s="126">
        <f t="shared" ca="1" si="262"/>
        <v>63025.166666666664</v>
      </c>
      <c r="AV96" s="126"/>
      <c r="AW96" s="97">
        <f t="shared" ca="1" si="294"/>
        <v>0</v>
      </c>
      <c r="AX96" s="126">
        <f t="shared" ca="1" si="263"/>
        <v>441176.16666666669</v>
      </c>
      <c r="AY96" s="151">
        <f t="shared" ca="1" si="295"/>
        <v>378151</v>
      </c>
      <c r="AZ96" s="188">
        <f t="shared" ca="1" si="296"/>
        <v>63025.166666666664</v>
      </c>
      <c r="BA96" s="144"/>
      <c r="BB96" s="126">
        <f t="shared" ca="1" si="264"/>
        <v>63025.166666666664</v>
      </c>
      <c r="BC96" s="126"/>
      <c r="BD96" s="97">
        <f t="shared" ca="1" si="297"/>
        <v>0</v>
      </c>
      <c r="BE96" s="97">
        <f t="shared" ca="1" si="265"/>
        <v>504201.33333333337</v>
      </c>
      <c r="BF96" s="151">
        <f t="shared" ca="1" si="298"/>
        <v>378151</v>
      </c>
      <c r="BG96" s="188">
        <f t="shared" ca="1" si="299"/>
        <v>63025.166666666664</v>
      </c>
      <c r="BH96" s="144"/>
      <c r="BI96" s="126">
        <f t="shared" ca="1" si="266"/>
        <v>63025.166666666664</v>
      </c>
      <c r="BJ96" s="126"/>
      <c r="BK96" s="97">
        <f t="shared" ca="1" si="480"/>
        <v>0</v>
      </c>
      <c r="BL96" s="97">
        <f t="shared" ca="1" si="268"/>
        <v>567226.5</v>
      </c>
      <c r="BM96" s="151">
        <f t="shared" ca="1" si="300"/>
        <v>0</v>
      </c>
      <c r="BN96" s="188">
        <f t="shared" ca="1" si="301"/>
        <v>63025.166666666664</v>
      </c>
      <c r="BO96" s="144"/>
      <c r="BP96" s="126">
        <f t="shared" ca="1" si="269"/>
        <v>63025.166666666664</v>
      </c>
      <c r="BQ96" s="126"/>
      <c r="BR96" s="97">
        <f t="shared" ca="1" si="302"/>
        <v>0</v>
      </c>
      <c r="BS96" s="97">
        <f t="shared" ca="1" si="270"/>
        <v>630251.66666666663</v>
      </c>
      <c r="BT96" s="151">
        <f t="shared" ca="1" si="303"/>
        <v>0</v>
      </c>
      <c r="BU96" s="188">
        <f t="shared" ca="1" si="304"/>
        <v>63025.166666666664</v>
      </c>
      <c r="BV96" s="144"/>
      <c r="BW96" s="126">
        <f t="shared" ca="1" si="271"/>
        <v>63025.166666666664</v>
      </c>
      <c r="BX96" s="126"/>
      <c r="BY96" s="97">
        <f t="shared" ca="1" si="305"/>
        <v>0</v>
      </c>
      <c r="BZ96" s="97">
        <f t="shared" ca="1" si="272"/>
        <v>693276.83333333326</v>
      </c>
      <c r="CA96" s="151">
        <f t="shared" ca="1" si="306"/>
        <v>0</v>
      </c>
      <c r="CB96" s="188">
        <f t="shared" ca="1" si="307"/>
        <v>63025.166666666664</v>
      </c>
      <c r="CC96" s="144"/>
      <c r="CD96" s="126">
        <f t="shared" ca="1" si="308"/>
        <v>63025.166666666664</v>
      </c>
      <c r="CE96" s="126"/>
      <c r="CF96" s="97">
        <f t="shared" ca="1" si="309"/>
        <v>0</v>
      </c>
      <c r="CG96" s="97">
        <f t="shared" ca="1" si="274"/>
        <v>756301.99999999988</v>
      </c>
      <c r="CH96" s="151">
        <f t="shared" ca="1" si="310"/>
        <v>0</v>
      </c>
      <c r="CI96" s="188">
        <f t="shared" ca="1" si="311"/>
        <v>63025.166666666664</v>
      </c>
      <c r="CJ96" s="5"/>
      <c r="CK96" s="5"/>
      <c r="CL96" s="5"/>
    </row>
    <row r="97" spans="1:90" s="6" customFormat="1">
      <c r="A97" s="133" t="s">
        <v>154</v>
      </c>
      <c r="B97" s="63">
        <v>51454001</v>
      </c>
      <c r="C97" s="134">
        <f t="shared" ca="1" si="275"/>
        <v>1676000</v>
      </c>
      <c r="D97" s="78"/>
      <c r="E97" s="126">
        <v>600000</v>
      </c>
      <c r="F97" s="126"/>
      <c r="G97" s="104">
        <f t="shared" ca="1" si="251"/>
        <v>150000</v>
      </c>
      <c r="H97" s="98">
        <f t="shared" si="276"/>
        <v>600000</v>
      </c>
      <c r="I97" s="57">
        <f t="shared" ca="1" si="252"/>
        <v>150000</v>
      </c>
      <c r="J97" s="188">
        <f t="shared" ca="1" si="277"/>
        <v>-450000</v>
      </c>
      <c r="K97" s="70"/>
      <c r="L97" s="126">
        <f t="shared" si="312"/>
        <v>600000</v>
      </c>
      <c r="M97" s="126"/>
      <c r="N97" s="97">
        <f t="shared" ca="1" si="278"/>
        <v>90000</v>
      </c>
      <c r="O97" s="98">
        <f t="shared" si="279"/>
        <v>1200000</v>
      </c>
      <c r="P97" s="151">
        <f t="shared" ca="1" si="280"/>
        <v>240000</v>
      </c>
      <c r="Q97" s="188">
        <f t="shared" ca="1" si="281"/>
        <v>510000</v>
      </c>
      <c r="R97" s="70"/>
      <c r="S97" s="126">
        <f t="shared" si="254"/>
        <v>600000</v>
      </c>
      <c r="T97" s="126"/>
      <c r="U97" s="97">
        <f t="shared" ca="1" si="282"/>
        <v>360000</v>
      </c>
      <c r="V97" s="97">
        <f t="shared" si="255"/>
        <v>1800000</v>
      </c>
      <c r="W97" s="151">
        <f t="shared" ca="1" si="283"/>
        <v>600000</v>
      </c>
      <c r="X97" s="188">
        <f t="shared" ca="1" si="284"/>
        <v>240000</v>
      </c>
      <c r="Y97" s="70"/>
      <c r="Z97" s="126">
        <f t="shared" si="256"/>
        <v>600000</v>
      </c>
      <c r="AA97" s="126"/>
      <c r="AB97" s="97">
        <f t="shared" ca="1" si="285"/>
        <v>73000</v>
      </c>
      <c r="AC97" s="97">
        <f t="shared" si="257"/>
        <v>2400000</v>
      </c>
      <c r="AD97" s="151">
        <f t="shared" ca="1" si="286"/>
        <v>673000</v>
      </c>
      <c r="AE97" s="188">
        <f t="shared" ca="1" si="287"/>
        <v>527000</v>
      </c>
      <c r="AF97" s="70"/>
      <c r="AG97" s="126">
        <f t="shared" si="258"/>
        <v>600000</v>
      </c>
      <c r="AH97" s="126"/>
      <c r="AI97" s="97">
        <f t="shared" ca="1" si="288"/>
        <v>65000</v>
      </c>
      <c r="AJ97" s="97">
        <f t="shared" si="259"/>
        <v>3000000</v>
      </c>
      <c r="AK97" s="151">
        <f t="shared" ca="1" si="289"/>
        <v>738000</v>
      </c>
      <c r="AL97" s="188">
        <f t="shared" ca="1" si="290"/>
        <v>535000</v>
      </c>
      <c r="AM97" s="70"/>
      <c r="AN97" s="126">
        <f t="shared" si="260"/>
        <v>600000</v>
      </c>
      <c r="AO97" s="126"/>
      <c r="AP97" s="97">
        <f t="shared" ca="1" si="291"/>
        <v>100000</v>
      </c>
      <c r="AQ97" s="97">
        <f t="shared" si="261"/>
        <v>3600000</v>
      </c>
      <c r="AR97" s="151">
        <f t="shared" ca="1" si="292"/>
        <v>838000</v>
      </c>
      <c r="AS97" s="188">
        <f t="shared" ca="1" si="293"/>
        <v>500000</v>
      </c>
      <c r="AT97" s="70"/>
      <c r="AU97" s="126">
        <f t="shared" si="262"/>
        <v>600000</v>
      </c>
      <c r="AV97" s="126"/>
      <c r="AW97" s="97">
        <f t="shared" ca="1" si="294"/>
        <v>3132706.17</v>
      </c>
      <c r="AX97" s="126">
        <f t="shared" si="263"/>
        <v>4200000</v>
      </c>
      <c r="AY97" s="151">
        <f t="shared" ca="1" si="295"/>
        <v>3970706.17</v>
      </c>
      <c r="AZ97" s="188">
        <f t="shared" ca="1" si="296"/>
        <v>-2532706.17</v>
      </c>
      <c r="BA97" s="144"/>
      <c r="BB97" s="126">
        <f t="shared" si="264"/>
        <v>600000</v>
      </c>
      <c r="BC97" s="126"/>
      <c r="BD97" s="97">
        <f t="shared" ca="1" si="297"/>
        <v>35000</v>
      </c>
      <c r="BE97" s="97">
        <f t="shared" si="265"/>
        <v>4800000</v>
      </c>
      <c r="BF97" s="151">
        <f t="shared" ca="1" si="298"/>
        <v>4005706.17</v>
      </c>
      <c r="BG97" s="188">
        <f t="shared" ca="1" si="299"/>
        <v>565000</v>
      </c>
      <c r="BH97" s="144"/>
      <c r="BI97" s="126">
        <f t="shared" si="266"/>
        <v>600000</v>
      </c>
      <c r="BJ97" s="126"/>
      <c r="BK97" s="97">
        <f t="shared" ca="1" si="480"/>
        <v>0</v>
      </c>
      <c r="BL97" s="97">
        <f t="shared" si="268"/>
        <v>5400000</v>
      </c>
      <c r="BM97" s="151">
        <f t="shared" ca="1" si="300"/>
        <v>0</v>
      </c>
      <c r="BN97" s="188">
        <f t="shared" ca="1" si="301"/>
        <v>600000</v>
      </c>
      <c r="BO97" s="144"/>
      <c r="BP97" s="126">
        <f t="shared" si="269"/>
        <v>600000</v>
      </c>
      <c r="BQ97" s="126"/>
      <c r="BR97" s="97">
        <f t="shared" ca="1" si="302"/>
        <v>0</v>
      </c>
      <c r="BS97" s="97">
        <f t="shared" si="270"/>
        <v>6000000</v>
      </c>
      <c r="BT97" s="151">
        <f t="shared" ca="1" si="303"/>
        <v>0</v>
      </c>
      <c r="BU97" s="188">
        <f t="shared" ca="1" si="304"/>
        <v>600000</v>
      </c>
      <c r="BV97" s="144"/>
      <c r="BW97" s="126">
        <f t="shared" si="271"/>
        <v>600000</v>
      </c>
      <c r="BX97" s="126"/>
      <c r="BY97" s="97">
        <f t="shared" ca="1" si="305"/>
        <v>0</v>
      </c>
      <c r="BZ97" s="97">
        <f t="shared" si="272"/>
        <v>6600000</v>
      </c>
      <c r="CA97" s="151">
        <f t="shared" ca="1" si="306"/>
        <v>0</v>
      </c>
      <c r="CB97" s="188">
        <f t="shared" ca="1" si="307"/>
        <v>600000</v>
      </c>
      <c r="CC97" s="144"/>
      <c r="CD97" s="126">
        <f t="shared" si="308"/>
        <v>600000</v>
      </c>
      <c r="CE97" s="126"/>
      <c r="CF97" s="97">
        <f t="shared" ca="1" si="309"/>
        <v>0</v>
      </c>
      <c r="CG97" s="97">
        <f t="shared" si="274"/>
        <v>7200000</v>
      </c>
      <c r="CH97" s="151">
        <f t="shared" ca="1" si="310"/>
        <v>0</v>
      </c>
      <c r="CI97" s="188">
        <f t="shared" ca="1" si="311"/>
        <v>600000</v>
      </c>
      <c r="CJ97" s="5"/>
      <c r="CK97" s="5"/>
      <c r="CL97" s="5"/>
    </row>
    <row r="98" spans="1:90" s="6" customFormat="1">
      <c r="A98" s="133" t="s">
        <v>199</v>
      </c>
      <c r="B98" s="63">
        <v>51500501</v>
      </c>
      <c r="C98" s="134">
        <f t="shared" ca="1" si="275"/>
        <v>131596.64000000001</v>
      </c>
      <c r="D98" s="78"/>
      <c r="E98" s="126">
        <f ca="1">$C98/COUNTA(E$1:$CI$1)</f>
        <v>10966.386666666667</v>
      </c>
      <c r="F98" s="126"/>
      <c r="G98" s="104">
        <f t="shared" ca="1" si="251"/>
        <v>0</v>
      </c>
      <c r="H98" s="98">
        <f t="shared" ca="1" si="276"/>
        <v>10966.386666666667</v>
      </c>
      <c r="I98" s="57">
        <f t="shared" ca="1" si="252"/>
        <v>0</v>
      </c>
      <c r="J98" s="188">
        <f t="shared" ca="1" si="277"/>
        <v>-10966.386666666667</v>
      </c>
      <c r="K98" s="70"/>
      <c r="L98" s="126">
        <f t="shared" ca="1" si="312"/>
        <v>10966.386666666667</v>
      </c>
      <c r="M98" s="126"/>
      <c r="N98" s="97">
        <f t="shared" ca="1" si="278"/>
        <v>0</v>
      </c>
      <c r="O98" s="98">
        <f t="shared" ca="1" si="279"/>
        <v>21932.773333333334</v>
      </c>
      <c r="P98" s="151">
        <f t="shared" ca="1" si="280"/>
        <v>0</v>
      </c>
      <c r="Q98" s="188">
        <f t="shared" ca="1" si="281"/>
        <v>10966.386666666667</v>
      </c>
      <c r="R98" s="70"/>
      <c r="S98" s="126">
        <f t="shared" ca="1" si="254"/>
        <v>10966.386666666667</v>
      </c>
      <c r="T98" s="126"/>
      <c r="U98" s="97">
        <f t="shared" ca="1" si="282"/>
        <v>0</v>
      </c>
      <c r="V98" s="97">
        <f t="shared" ca="1" si="255"/>
        <v>32899.160000000003</v>
      </c>
      <c r="W98" s="151">
        <f t="shared" ca="1" si="283"/>
        <v>0</v>
      </c>
      <c r="X98" s="188">
        <f t="shared" ca="1" si="284"/>
        <v>10966.386666666667</v>
      </c>
      <c r="Y98" s="70"/>
      <c r="Z98" s="126">
        <f t="shared" ca="1" si="256"/>
        <v>10966.386666666667</v>
      </c>
      <c r="AA98" s="126"/>
      <c r="AB98" s="97">
        <f t="shared" ca="1" si="285"/>
        <v>0</v>
      </c>
      <c r="AC98" s="97">
        <f t="shared" ca="1" si="257"/>
        <v>43865.546666666669</v>
      </c>
      <c r="AD98" s="151">
        <f t="shared" ca="1" si="286"/>
        <v>0</v>
      </c>
      <c r="AE98" s="188">
        <f t="shared" ca="1" si="287"/>
        <v>10966.386666666667</v>
      </c>
      <c r="AF98" s="70"/>
      <c r="AG98" s="126">
        <f t="shared" ca="1" si="258"/>
        <v>10966.386666666667</v>
      </c>
      <c r="AH98" s="126"/>
      <c r="AI98" s="97">
        <f t="shared" ca="1" si="288"/>
        <v>65798.320000000007</v>
      </c>
      <c r="AJ98" s="97">
        <f t="shared" ca="1" si="259"/>
        <v>54831.933333333334</v>
      </c>
      <c r="AK98" s="151">
        <f t="shared" ca="1" si="289"/>
        <v>65798.320000000007</v>
      </c>
      <c r="AL98" s="188">
        <f t="shared" ca="1" si="290"/>
        <v>-54831.933333333342</v>
      </c>
      <c r="AM98" s="70"/>
      <c r="AN98" s="126">
        <f t="shared" ca="1" si="260"/>
        <v>10966.386666666667</v>
      </c>
      <c r="AO98" s="126"/>
      <c r="AP98" s="97">
        <f t="shared" ca="1" si="291"/>
        <v>0</v>
      </c>
      <c r="AQ98" s="97">
        <f t="shared" ca="1" si="261"/>
        <v>65798.320000000007</v>
      </c>
      <c r="AR98" s="151">
        <f t="shared" ca="1" si="292"/>
        <v>65798.320000000007</v>
      </c>
      <c r="AS98" s="188">
        <f t="shared" ca="1" si="293"/>
        <v>10966.386666666667</v>
      </c>
      <c r="AT98" s="70"/>
      <c r="AU98" s="126">
        <f t="shared" ca="1" si="262"/>
        <v>10966.386666666667</v>
      </c>
      <c r="AV98" s="126"/>
      <c r="AW98" s="97">
        <f t="shared" ca="1" si="294"/>
        <v>540000</v>
      </c>
      <c r="AX98" s="126">
        <f t="shared" ca="1" si="263"/>
        <v>76764.70666666668</v>
      </c>
      <c r="AY98" s="151">
        <f t="shared" ca="1" si="295"/>
        <v>605798.31999999995</v>
      </c>
      <c r="AZ98" s="188">
        <f t="shared" ca="1" si="296"/>
        <v>-529033.61333333328</v>
      </c>
      <c r="BA98" s="144"/>
      <c r="BB98" s="126">
        <f t="shared" ca="1" si="264"/>
        <v>10966.386666666667</v>
      </c>
      <c r="BC98" s="126"/>
      <c r="BD98" s="97">
        <f t="shared" ca="1" si="297"/>
        <v>0</v>
      </c>
      <c r="BE98" s="97">
        <f t="shared" ca="1" si="265"/>
        <v>87731.093333333352</v>
      </c>
      <c r="BF98" s="151">
        <f t="shared" ca="1" si="298"/>
        <v>605798.31999999995</v>
      </c>
      <c r="BG98" s="188">
        <f t="shared" ca="1" si="299"/>
        <v>10966.386666666667</v>
      </c>
      <c r="BH98" s="144"/>
      <c r="BI98" s="126">
        <f t="shared" ca="1" si="266"/>
        <v>10966.386666666667</v>
      </c>
      <c r="BJ98" s="126"/>
      <c r="BK98" s="97">
        <f t="shared" ca="1" si="480"/>
        <v>0</v>
      </c>
      <c r="BL98" s="97">
        <f t="shared" ca="1" si="268"/>
        <v>98697.480000000025</v>
      </c>
      <c r="BM98" s="151">
        <f t="shared" ca="1" si="300"/>
        <v>0</v>
      </c>
      <c r="BN98" s="188">
        <f t="shared" ca="1" si="301"/>
        <v>10966.386666666667</v>
      </c>
      <c r="BO98" s="144"/>
      <c r="BP98" s="126">
        <f t="shared" ca="1" si="269"/>
        <v>10966.386666666667</v>
      </c>
      <c r="BQ98" s="126"/>
      <c r="BR98" s="97">
        <f t="shared" ca="1" si="302"/>
        <v>0</v>
      </c>
      <c r="BS98" s="97">
        <f t="shared" ca="1" si="270"/>
        <v>109663.8666666667</v>
      </c>
      <c r="BT98" s="151">
        <f t="shared" ca="1" si="303"/>
        <v>0</v>
      </c>
      <c r="BU98" s="188">
        <f t="shared" ca="1" si="304"/>
        <v>10966.386666666667</v>
      </c>
      <c r="BV98" s="144"/>
      <c r="BW98" s="126">
        <f t="shared" ca="1" si="271"/>
        <v>10966.386666666667</v>
      </c>
      <c r="BX98" s="126"/>
      <c r="BY98" s="97">
        <f t="shared" ca="1" si="305"/>
        <v>0</v>
      </c>
      <c r="BZ98" s="97">
        <f t="shared" ca="1" si="272"/>
        <v>120630.25333333337</v>
      </c>
      <c r="CA98" s="151">
        <f t="shared" ca="1" si="306"/>
        <v>0</v>
      </c>
      <c r="CB98" s="188">
        <f t="shared" ca="1" si="307"/>
        <v>10966.386666666667</v>
      </c>
      <c r="CC98" s="144"/>
      <c r="CD98" s="126">
        <f t="shared" ca="1" si="308"/>
        <v>10966.386666666667</v>
      </c>
      <c r="CE98" s="126"/>
      <c r="CF98" s="97">
        <f t="shared" ca="1" si="309"/>
        <v>0</v>
      </c>
      <c r="CG98" s="97">
        <f t="shared" ca="1" si="274"/>
        <v>131596.64000000004</v>
      </c>
      <c r="CH98" s="151">
        <f t="shared" ca="1" si="310"/>
        <v>0</v>
      </c>
      <c r="CI98" s="188">
        <f t="shared" ca="1" si="311"/>
        <v>10966.386666666667</v>
      </c>
      <c r="CJ98" s="5"/>
      <c r="CK98" s="5"/>
      <c r="CL98" s="5"/>
    </row>
    <row r="99" spans="1:90" s="6" customFormat="1">
      <c r="A99" s="133" t="s">
        <v>568</v>
      </c>
      <c r="B99" s="63">
        <v>51500502</v>
      </c>
      <c r="C99" s="134">
        <f t="shared" ca="1" si="275"/>
        <v>4498822</v>
      </c>
      <c r="D99" s="78"/>
      <c r="E99" s="126">
        <f ca="1">$C99/COUNTA(E$1:$CI$1)</f>
        <v>374901.83333333331</v>
      </c>
      <c r="F99" s="126"/>
      <c r="G99" s="104">
        <f t="shared" ref="G99" ca="1" si="539">IFERROR(I99,0)</f>
        <v>0</v>
      </c>
      <c r="H99" s="98">
        <f t="shared" ref="H99" ca="1" si="540">IFERROR(E99,0)</f>
        <v>374901.83333333331</v>
      </c>
      <c r="I99" s="57">
        <f t="shared" ref="I99" ca="1" si="541">IFERROR(IFERROR(VLOOKUP(TEXT($B99,0),INDIRECT("'Balance a "&amp;LEFT(E$1,3)&amp;"'!$B$3:$G$300"),4,0),VLOOKUP(VALUE($B99),INDIRECT("'Balance a "&amp;LEFT(E$1,3)&amp;"'!$B$3:$G$300"),4,0)),0)</f>
        <v>0</v>
      </c>
      <c r="J99" s="188">
        <f t="shared" ref="J99" ca="1" si="542">IFERROR(G99-E99,0)</f>
        <v>-374901.83333333331</v>
      </c>
      <c r="K99" s="70"/>
      <c r="L99" s="126">
        <f t="shared" ref="L99" ca="1" si="543">E99+F99</f>
        <v>374901.83333333331</v>
      </c>
      <c r="M99" s="126"/>
      <c r="N99" s="97">
        <f t="shared" ref="N99" ca="1" si="544">IFERROR(P99-I99,0)</f>
        <v>0</v>
      </c>
      <c r="O99" s="98">
        <f t="shared" ref="O99" ca="1" si="545">SUM(E99:F99,L99:M99)</f>
        <v>749803.66666666663</v>
      </c>
      <c r="P99" s="151">
        <f t="shared" ref="P99" ca="1" si="546">IFERROR(IFERROR(VLOOKUP(TEXT($B99,0),INDIRECT("'Balance a "&amp;LEFT(L$1,3)&amp;"'!$B$3:$G$300"),6,0),VLOOKUP(VALUE($B99),INDIRECT("'Balance a "&amp;LEFT(L$1,3)&amp;"'!$B$3:$G$300"),6,0)),0)</f>
        <v>0</v>
      </c>
      <c r="Q99" s="188">
        <f t="shared" ref="Q99" ca="1" si="547">IFERROR(SUM(L99:M99)-N99,0)</f>
        <v>374901.83333333331</v>
      </c>
      <c r="R99" s="70"/>
      <c r="S99" s="126">
        <f t="shared" ref="S99" ca="1" si="548">L99+M99</f>
        <v>374901.83333333331</v>
      </c>
      <c r="T99" s="126"/>
      <c r="U99" s="97">
        <f t="shared" ref="U99" ca="1" si="549">IFERROR(W99-P99,0)</f>
        <v>0</v>
      </c>
      <c r="V99" s="97">
        <f t="shared" ref="V99" ca="1" si="550">SUM(E99:F99,L99:M99,S99:T99)</f>
        <v>1124705.5</v>
      </c>
      <c r="W99" s="151">
        <f t="shared" ref="W99" ca="1" si="551">IFERROR(IFERROR(VLOOKUP(TEXT($B99,0),INDIRECT("'Balance a "&amp;LEFT(S$1,3)&amp;"'!$B$3:$G$300"),6,0),VLOOKUP(VALUE($B99),INDIRECT("'Balance a "&amp;LEFT(S$1,3)&amp;"'!$B$3:$G$300"),6,0)),0)</f>
        <v>0</v>
      </c>
      <c r="X99" s="188">
        <f t="shared" ref="X99" ca="1" si="552">IFERROR(SUM(S99:T99)-U99,0)</f>
        <v>374901.83333333331</v>
      </c>
      <c r="Y99" s="70"/>
      <c r="Z99" s="126">
        <f t="shared" ref="Z99" ca="1" si="553">S99+T99</f>
        <v>374901.83333333331</v>
      </c>
      <c r="AA99" s="126"/>
      <c r="AB99" s="97">
        <f t="shared" ref="AB99" ca="1" si="554">IFERROR(AD99-W99,0)</f>
        <v>0</v>
      </c>
      <c r="AC99" s="97">
        <f t="shared" ref="AC99" ca="1" si="555">SUM(E99:F99,L99:M99,S99:T99,Z99:AA99)</f>
        <v>1499607.3333333333</v>
      </c>
      <c r="AD99" s="151">
        <f t="shared" ref="AD99" ca="1" si="556">IFERROR(IFERROR(VLOOKUP(TEXT($B99,0),INDIRECT("'Balance a "&amp;LEFT(Z$1,3)&amp;"'!$B$3:$G$300"),6,0),VLOOKUP(VALUE($B99),INDIRECT("'Balance a "&amp;LEFT(Z$1,3)&amp;"'!$B$3:$G$300"),6,0)),0)</f>
        <v>0</v>
      </c>
      <c r="AE99" s="188">
        <f t="shared" ref="AE99" ca="1" si="557">IFERROR(SUM(Z99:AA99)-AB99,0)</f>
        <v>374901.83333333331</v>
      </c>
      <c r="AF99" s="70"/>
      <c r="AG99" s="126">
        <f t="shared" ref="AG99" ca="1" si="558">Z99+AA99</f>
        <v>374901.83333333331</v>
      </c>
      <c r="AH99" s="126"/>
      <c r="AI99" s="97">
        <f t="shared" ref="AI99" ca="1" si="559">IFERROR(AK99-AD99,0)</f>
        <v>2249411</v>
      </c>
      <c r="AJ99" s="97">
        <f t="shared" ref="AJ99" ca="1" si="560">SUM(E99:F99,L99:M99,S99:T99,Z99:AA99,AG99:AH99)</f>
        <v>1874509.1666666665</v>
      </c>
      <c r="AK99" s="151">
        <f t="shared" ref="AK99" ca="1" si="561">IFERROR(IFERROR(VLOOKUP(TEXT($B99,0),INDIRECT("'Balance a "&amp;LEFT(AG$1,3)&amp;"'!$B$3:$G$300"),6,0),VLOOKUP(VALUE($B99),INDIRECT("'Balance a "&amp;LEFT(AG$1,3)&amp;"'!$B$3:$G$300"),6,0)),0)</f>
        <v>2249411</v>
      </c>
      <c r="AL99" s="188">
        <f t="shared" ref="AL99" ca="1" si="562">IFERROR(SUM(AG99:AH99)-AI99,0)</f>
        <v>-1874509.1666666667</v>
      </c>
      <c r="AM99" s="70"/>
      <c r="AN99" s="126">
        <f t="shared" ref="AN99" ca="1" si="563">AG99+AH99</f>
        <v>374901.83333333331</v>
      </c>
      <c r="AO99" s="126"/>
      <c r="AP99" s="97">
        <f t="shared" ref="AP99" ca="1" si="564">IFERROR(AR99-AK99,0)</f>
        <v>0</v>
      </c>
      <c r="AQ99" s="97">
        <f t="shared" ref="AQ99" ca="1" si="565">SUM(E99:F99,L99:M99,S99:T99,Z99:AA99,AG99:AH99,AN99:AO99)</f>
        <v>2249411</v>
      </c>
      <c r="AR99" s="151">
        <f t="shared" ref="AR99" ca="1" si="566">IFERROR(IFERROR(VLOOKUP(TEXT($B99,0),INDIRECT("'Balance a "&amp;LEFT(AN$1,3)&amp;"'!$B$3:$G$300"),6,0),VLOOKUP(VALUE($B99),INDIRECT("'Balance a "&amp;LEFT(AN$1,3)&amp;"'!$B$3:$G$300"),6,0)),0)</f>
        <v>2249411</v>
      </c>
      <c r="AS99" s="188">
        <f t="shared" ref="AS99" ca="1" si="567">IFERROR(SUM(AN99:AO99)-AP99,0)</f>
        <v>374901.83333333331</v>
      </c>
      <c r="AT99" s="70"/>
      <c r="AU99" s="126">
        <f t="shared" ref="AU99" ca="1" si="568">AN99+AO99</f>
        <v>374901.83333333331</v>
      </c>
      <c r="AV99" s="126"/>
      <c r="AW99" s="97">
        <f t="shared" ref="AW99" ca="1" si="569">IFERROR(AY99-AR99,0)</f>
        <v>0</v>
      </c>
      <c r="AX99" s="126">
        <f t="shared" ref="AX99" ca="1" si="570">SUM(E99:F99,L99:M99,S99:T99,Z99:AA99,AG99:AH99,AN99:AO99,AU99:AV99)</f>
        <v>2624312.8333333335</v>
      </c>
      <c r="AY99" s="151">
        <f t="shared" ref="AY99" ca="1" si="571">IFERROR(IFERROR(VLOOKUP(TEXT($B99,0),INDIRECT("'Balance a "&amp;LEFT(AU$1,3)&amp;"'!$B$3:$G$300"),6,0),VLOOKUP(VALUE($B99),INDIRECT("'Balance a "&amp;LEFT(AU$1,3)&amp;"'!$B$3:$G$300"),6,0)),0)</f>
        <v>2249411</v>
      </c>
      <c r="AZ99" s="188">
        <f t="shared" ref="AZ99" ca="1" si="572">IFERROR(SUM(AU99:AV99)-AW99,0)</f>
        <v>374901.83333333331</v>
      </c>
      <c r="BA99" s="144"/>
      <c r="BB99" s="126">
        <f t="shared" ref="BB99" ca="1" si="573">AU99+AV99</f>
        <v>374901.83333333331</v>
      </c>
      <c r="BC99" s="126"/>
      <c r="BD99" s="97">
        <f t="shared" ref="BD99" ca="1" si="574">IFERROR(BF99-AY99,0)</f>
        <v>0</v>
      </c>
      <c r="BE99" s="97">
        <f t="shared" ref="BE99" ca="1" si="575">SUM(E99:F99,L99:M99,S99:T99,Z99:AA99,AG99:AH99,AN99:AO99,AU99:AV99,BB99:BC99)</f>
        <v>2999214.666666667</v>
      </c>
      <c r="BF99" s="151">
        <f t="shared" ref="BF99" ca="1" si="576">IFERROR(IFERROR(VLOOKUP(TEXT($B99,0),INDIRECT("'Balance a "&amp;LEFT(BB$1,3)&amp;"'!$B$3:$G$300"),6,0),VLOOKUP(VALUE($B99),INDIRECT("'Balance a "&amp;LEFT(BB$1,3)&amp;"'!$B$3:$G$300"),6,0)),0)</f>
        <v>2249411</v>
      </c>
      <c r="BG99" s="188">
        <f t="shared" ref="BG99" ca="1" si="577">IFERROR(SUM(BB99:BC99)-BD99,0)</f>
        <v>374901.83333333331</v>
      </c>
      <c r="BH99" s="144"/>
      <c r="BI99" s="126">
        <f t="shared" ref="BI99" ca="1" si="578">BB99+BC99</f>
        <v>374901.83333333331</v>
      </c>
      <c r="BJ99" s="126"/>
      <c r="BK99" s="97">
        <f t="shared" ca="1" si="480"/>
        <v>0</v>
      </c>
      <c r="BL99" s="97">
        <f t="shared" ref="BL99" ca="1" si="579">SUM(E99:F99,L99:M99,S99:T99,Z99:AA99,AG99:AH99,AN99:AO99,AU99:AV99,BB99:BC99,BI99:BJ99)</f>
        <v>3374116.5000000005</v>
      </c>
      <c r="BM99" s="151">
        <f t="shared" ref="BM99" ca="1" si="580">IFERROR(IFERROR(VLOOKUP(TEXT($B99,0),INDIRECT("'Balance a "&amp;LEFT(BI$1,3)&amp;"'!$B$3:$G$300"),6,0),VLOOKUP(VALUE($B99),INDIRECT("'Balance a "&amp;LEFT(BI$1,3)&amp;"'!$B$3:$G$300"),6,0)),0)</f>
        <v>0</v>
      </c>
      <c r="BN99" s="188">
        <f t="shared" ref="BN99" ca="1" si="581">IFERROR(SUM(BI99:BJ99)-BK99,0)</f>
        <v>374901.83333333331</v>
      </c>
      <c r="BO99" s="144"/>
      <c r="BP99" s="126">
        <f t="shared" ref="BP99" ca="1" si="582">BI99+BJ99</f>
        <v>374901.83333333331</v>
      </c>
      <c r="BQ99" s="126"/>
      <c r="BR99" s="97">
        <f t="shared" ref="BR99" ca="1" si="583">IFERROR(BT99-BM99,0)</f>
        <v>0</v>
      </c>
      <c r="BS99" s="97">
        <f t="shared" ref="BS99" ca="1" si="584">SUM(E99:F99,L99:M99,S99:T99,Z99:AA99,AG99:AH99,AN99:AO99,AU99:AV99,BB99:BC99,BI99:BJ99,BP99:BQ99)</f>
        <v>3749018.333333334</v>
      </c>
      <c r="BT99" s="151">
        <f t="shared" ref="BT99" ca="1" si="585">IFERROR(IFERROR(VLOOKUP(TEXT($B99,0),INDIRECT("'Balance a "&amp;LEFT(BP$1,3)&amp;"'!$B$3:$G$300"),6,0),VLOOKUP(VALUE($B99),INDIRECT("'Balance a "&amp;LEFT(BP$1,3)&amp;"'!$B$3:$G$300"),6,0)),0)</f>
        <v>0</v>
      </c>
      <c r="BU99" s="188">
        <f t="shared" ref="BU99" ca="1" si="586">IFERROR(SUM(BP99:BQ99)-BR99,0)</f>
        <v>374901.83333333331</v>
      </c>
      <c r="BV99" s="144"/>
      <c r="BW99" s="126">
        <f t="shared" ref="BW99" ca="1" si="587">BP99+BQ99</f>
        <v>374901.83333333331</v>
      </c>
      <c r="BX99" s="126"/>
      <c r="BY99" s="97">
        <f t="shared" ref="BY99" ca="1" si="588">IFERROR(CA99-BT99,0)</f>
        <v>0</v>
      </c>
      <c r="BZ99" s="97">
        <f t="shared" ref="BZ99" ca="1" si="589">SUM(E99:F99,L99:M99,S99:T99,Z99:AA99,AG99:AH99,AN99:AO99,AU99:AV99,BB99:BC99,BI99:BJ99,BP99:BQ99,BW99:BX99)</f>
        <v>4123920.1666666674</v>
      </c>
      <c r="CA99" s="151">
        <f t="shared" ref="CA99" ca="1" si="590">IFERROR(IFERROR(VLOOKUP(TEXT($B99,0),INDIRECT("'Balance a "&amp;LEFT(BW$1,3)&amp;"'!$B$3:$G$300"),6,0),VLOOKUP(VALUE($B99),INDIRECT("'Balance a "&amp;LEFT(BW$1,3)&amp;"'!$B$3:$G$300"),6,0)),0)</f>
        <v>0</v>
      </c>
      <c r="CB99" s="188">
        <f t="shared" ref="CB99" ca="1" si="591">IFERROR(SUM(BW99:BX99)-BY99,0)</f>
        <v>374901.83333333331</v>
      </c>
      <c r="CC99" s="144"/>
      <c r="CD99" s="126">
        <f t="shared" ref="CD99" ca="1" si="592">BW99+BX99</f>
        <v>374901.83333333331</v>
      </c>
      <c r="CE99" s="126"/>
      <c r="CF99" s="97">
        <f t="shared" ref="CF99" ca="1" si="593">IFERROR(CH99-CA99,0)</f>
        <v>0</v>
      </c>
      <c r="CG99" s="97">
        <f t="shared" ref="CG99" ca="1" si="594">SUM(E99:F99,L99:M99,S99:T99,Z99:AA99,AG99:AH99,AN99:AO99,AU99:AV99,BB99:BC99,BI99:BJ99,BP99:BQ99,BW99:BX99,CD99:CE99)</f>
        <v>4498822.0000000009</v>
      </c>
      <c r="CH99" s="151">
        <f t="shared" ref="CH99" ca="1" si="595">IFERROR(IFERROR(VLOOKUP(TEXT($B99,0),INDIRECT("'Balance a "&amp;LEFT(CD$1,3)&amp;"'!$B$3:$G$300"),6,0),VLOOKUP(VALUE($B99),INDIRECT("'Balance a "&amp;LEFT(CD$1,3)&amp;"'!$B$3:$G$300"),6,0)),0)</f>
        <v>0</v>
      </c>
      <c r="CI99" s="188">
        <f t="shared" ref="CI99" ca="1" si="596">IFERROR(SUM(CD99:CE99)-CF99,0)</f>
        <v>374901.83333333331</v>
      </c>
      <c r="CJ99" s="5"/>
      <c r="CK99" s="5"/>
      <c r="CL99" s="5"/>
    </row>
    <row r="100" spans="1:90" s="6" customFormat="1">
      <c r="A100" s="133" t="s">
        <v>155</v>
      </c>
      <c r="B100" s="63">
        <v>51501001</v>
      </c>
      <c r="C100" s="134">
        <f t="shared" ca="1" si="275"/>
        <v>1680674.62</v>
      </c>
      <c r="D100" s="78"/>
      <c r="E100" s="126">
        <f ca="1">$C100/COUNTA(E$1:$CI$1)</f>
        <v>140056.21833333335</v>
      </c>
      <c r="F100" s="126"/>
      <c r="G100" s="104">
        <f t="shared" ca="1" si="251"/>
        <v>201681.31</v>
      </c>
      <c r="H100" s="98">
        <f t="shared" ca="1" si="276"/>
        <v>140056.21833333335</v>
      </c>
      <c r="I100" s="57">
        <f t="shared" ca="1" si="252"/>
        <v>201681.31</v>
      </c>
      <c r="J100" s="188">
        <f t="shared" ca="1" si="277"/>
        <v>61625.091666666645</v>
      </c>
      <c r="K100" s="70"/>
      <c r="L100" s="126">
        <f t="shared" ca="1" si="312"/>
        <v>140056.21833333335</v>
      </c>
      <c r="M100" s="126"/>
      <c r="N100" s="97">
        <f t="shared" ca="1" si="278"/>
        <v>0</v>
      </c>
      <c r="O100" s="98">
        <f t="shared" ca="1" si="279"/>
        <v>280112.4366666667</v>
      </c>
      <c r="P100" s="151">
        <f t="shared" ca="1" si="280"/>
        <v>201681.31</v>
      </c>
      <c r="Q100" s="188">
        <f t="shared" ca="1" si="281"/>
        <v>140056.21833333335</v>
      </c>
      <c r="R100" s="70"/>
      <c r="S100" s="126">
        <f t="shared" ca="1" si="254"/>
        <v>140056.21833333335</v>
      </c>
      <c r="T100" s="126"/>
      <c r="U100" s="97">
        <f t="shared" ca="1" si="282"/>
        <v>638656</v>
      </c>
      <c r="V100" s="97">
        <f t="shared" ca="1" si="255"/>
        <v>420168.65500000003</v>
      </c>
      <c r="W100" s="151">
        <f t="shared" ca="1" si="283"/>
        <v>840337.31</v>
      </c>
      <c r="X100" s="188">
        <f t="shared" ca="1" si="284"/>
        <v>-498599.78166666662</v>
      </c>
      <c r="Y100" s="70"/>
      <c r="Z100" s="126">
        <f t="shared" ca="1" si="256"/>
        <v>140056.21833333335</v>
      </c>
      <c r="AA100" s="126"/>
      <c r="AB100" s="97">
        <f t="shared" ca="1" si="285"/>
        <v>0</v>
      </c>
      <c r="AC100" s="97">
        <f t="shared" ca="1" si="257"/>
        <v>560224.87333333341</v>
      </c>
      <c r="AD100" s="151">
        <f t="shared" ca="1" si="286"/>
        <v>840337.31</v>
      </c>
      <c r="AE100" s="188">
        <f t="shared" ca="1" si="287"/>
        <v>140056.21833333335</v>
      </c>
      <c r="AF100" s="70"/>
      <c r="AG100" s="126">
        <f t="shared" ca="1" si="258"/>
        <v>140056.21833333335</v>
      </c>
      <c r="AH100" s="126"/>
      <c r="AI100" s="97">
        <f t="shared" ca="1" si="288"/>
        <v>0</v>
      </c>
      <c r="AJ100" s="97">
        <f t="shared" ca="1" si="259"/>
        <v>700281.09166666679</v>
      </c>
      <c r="AK100" s="151">
        <f t="shared" ca="1" si="289"/>
        <v>840337.31</v>
      </c>
      <c r="AL100" s="188">
        <f t="shared" ca="1" si="290"/>
        <v>140056.21833333335</v>
      </c>
      <c r="AM100" s="70"/>
      <c r="AN100" s="126">
        <f t="shared" ca="1" si="260"/>
        <v>140056.21833333335</v>
      </c>
      <c r="AO100" s="126"/>
      <c r="AP100" s="97">
        <f t="shared" ca="1" si="291"/>
        <v>0</v>
      </c>
      <c r="AQ100" s="97">
        <f t="shared" ca="1" si="261"/>
        <v>840337.31000000017</v>
      </c>
      <c r="AR100" s="151">
        <f t="shared" ca="1" si="292"/>
        <v>840337.31</v>
      </c>
      <c r="AS100" s="188">
        <f t="shared" ca="1" si="293"/>
        <v>140056.21833333335</v>
      </c>
      <c r="AT100" s="70"/>
      <c r="AU100" s="126">
        <f t="shared" ca="1" si="262"/>
        <v>140056.21833333335</v>
      </c>
      <c r="AV100" s="126"/>
      <c r="AW100" s="97">
        <f t="shared" ca="1" si="294"/>
        <v>2374201.69</v>
      </c>
      <c r="AX100" s="126">
        <f t="shared" ca="1" si="263"/>
        <v>980393.52833333355</v>
      </c>
      <c r="AY100" s="151">
        <f t="shared" ca="1" si="295"/>
        <v>3214539</v>
      </c>
      <c r="AZ100" s="188">
        <f t="shared" ca="1" si="296"/>
        <v>-2234145.4716666667</v>
      </c>
      <c r="BA100" s="144"/>
      <c r="BB100" s="126">
        <f t="shared" ca="1" si="264"/>
        <v>140056.21833333335</v>
      </c>
      <c r="BC100" s="126"/>
      <c r="BD100" s="97">
        <f t="shared" ca="1" si="297"/>
        <v>957317.62999999989</v>
      </c>
      <c r="BE100" s="97">
        <f t="shared" ca="1" si="265"/>
        <v>1120449.7466666668</v>
      </c>
      <c r="BF100" s="151">
        <f t="shared" ca="1" si="298"/>
        <v>4171856.63</v>
      </c>
      <c r="BG100" s="188">
        <f t="shared" ca="1" si="299"/>
        <v>-817261.41166666651</v>
      </c>
      <c r="BH100" s="144"/>
      <c r="BI100" s="126">
        <f t="shared" ca="1" si="266"/>
        <v>140056.21833333335</v>
      </c>
      <c r="BJ100" s="126"/>
      <c r="BK100" s="97">
        <f t="shared" ca="1" si="480"/>
        <v>0</v>
      </c>
      <c r="BL100" s="97">
        <f t="shared" ca="1" si="268"/>
        <v>1260505.9650000001</v>
      </c>
      <c r="BM100" s="151">
        <f t="shared" ca="1" si="300"/>
        <v>0</v>
      </c>
      <c r="BN100" s="188">
        <f t="shared" ca="1" si="301"/>
        <v>140056.21833333335</v>
      </c>
      <c r="BO100" s="144"/>
      <c r="BP100" s="126">
        <f t="shared" ca="1" si="269"/>
        <v>140056.21833333335</v>
      </c>
      <c r="BQ100" s="126"/>
      <c r="BR100" s="97">
        <f t="shared" ca="1" si="302"/>
        <v>0</v>
      </c>
      <c r="BS100" s="97">
        <f t="shared" ca="1" si="270"/>
        <v>1400562.1833333333</v>
      </c>
      <c r="BT100" s="151">
        <f t="shared" ca="1" si="303"/>
        <v>0</v>
      </c>
      <c r="BU100" s="188">
        <f t="shared" ca="1" si="304"/>
        <v>140056.21833333335</v>
      </c>
      <c r="BV100" s="144"/>
      <c r="BW100" s="126">
        <f t="shared" ca="1" si="271"/>
        <v>140056.21833333335</v>
      </c>
      <c r="BX100" s="126"/>
      <c r="BY100" s="97">
        <f t="shared" ca="1" si="305"/>
        <v>0</v>
      </c>
      <c r="BZ100" s="97">
        <f t="shared" ca="1" si="272"/>
        <v>1540618.4016666666</v>
      </c>
      <c r="CA100" s="151">
        <f t="shared" ca="1" si="306"/>
        <v>0</v>
      </c>
      <c r="CB100" s="188">
        <f t="shared" ca="1" si="307"/>
        <v>140056.21833333335</v>
      </c>
      <c r="CC100" s="144"/>
      <c r="CD100" s="126">
        <f t="shared" ca="1" si="308"/>
        <v>140056.21833333335</v>
      </c>
      <c r="CE100" s="126"/>
      <c r="CF100" s="97">
        <f t="shared" ca="1" si="309"/>
        <v>0</v>
      </c>
      <c r="CG100" s="97">
        <f t="shared" ca="1" si="274"/>
        <v>1680674.6199999999</v>
      </c>
      <c r="CH100" s="151">
        <f t="shared" ca="1" si="310"/>
        <v>0</v>
      </c>
      <c r="CI100" s="188">
        <f t="shared" ca="1" si="311"/>
        <v>140056.21833333335</v>
      </c>
      <c r="CJ100" s="5"/>
      <c r="CK100" s="5"/>
      <c r="CL100" s="5"/>
    </row>
    <row r="101" spans="1:90" s="6" customFormat="1">
      <c r="A101" s="133" t="s">
        <v>156</v>
      </c>
      <c r="B101" s="63">
        <v>51509501</v>
      </c>
      <c r="C101" s="134">
        <f t="shared" ca="1" si="275"/>
        <v>16842142.52</v>
      </c>
      <c r="D101" s="78"/>
      <c r="E101" s="126">
        <f ca="1">$C101/COUNTA(E$1:$CI$1)</f>
        <v>1403511.8766666667</v>
      </c>
      <c r="F101" s="126"/>
      <c r="G101" s="104">
        <f t="shared" ca="1" si="251"/>
        <v>1631269</v>
      </c>
      <c r="H101" s="98">
        <f t="shared" ca="1" si="276"/>
        <v>1403511.8766666667</v>
      </c>
      <c r="I101" s="57">
        <f t="shared" ca="1" si="252"/>
        <v>1631269</v>
      </c>
      <c r="J101" s="188">
        <f t="shared" ca="1" si="277"/>
        <v>227757.12333333329</v>
      </c>
      <c r="K101" s="70"/>
      <c r="L101" s="126">
        <f t="shared" ca="1" si="312"/>
        <v>1403511.8766666667</v>
      </c>
      <c r="M101" s="126"/>
      <c r="N101" s="97">
        <f t="shared" ca="1" si="278"/>
        <v>3680313.1900000004</v>
      </c>
      <c r="O101" s="98">
        <f t="shared" ca="1" si="279"/>
        <v>2807023.7533333334</v>
      </c>
      <c r="P101" s="151">
        <f t="shared" ca="1" si="280"/>
        <v>5311582.1900000004</v>
      </c>
      <c r="Q101" s="188">
        <f t="shared" ca="1" si="281"/>
        <v>-2276801.3133333335</v>
      </c>
      <c r="R101" s="70"/>
      <c r="S101" s="126">
        <f t="shared" ca="1" si="254"/>
        <v>1403511.8766666667</v>
      </c>
      <c r="T101" s="126"/>
      <c r="U101" s="97">
        <f t="shared" ca="1" si="282"/>
        <v>3108396.63</v>
      </c>
      <c r="V101" s="97">
        <f t="shared" ca="1" si="255"/>
        <v>4210535.63</v>
      </c>
      <c r="W101" s="151">
        <f t="shared" ca="1" si="283"/>
        <v>8419978.8200000003</v>
      </c>
      <c r="X101" s="188">
        <f t="shared" ca="1" si="284"/>
        <v>-1704884.7533333332</v>
      </c>
      <c r="Y101" s="70"/>
      <c r="Z101" s="126">
        <f t="shared" ca="1" si="256"/>
        <v>1403511.8766666667</v>
      </c>
      <c r="AA101" s="126"/>
      <c r="AB101" s="97">
        <f t="shared" ca="1" si="285"/>
        <v>1092.4399999994785</v>
      </c>
      <c r="AC101" s="97">
        <f t="shared" ca="1" si="257"/>
        <v>5614047.5066666668</v>
      </c>
      <c r="AD101" s="151">
        <f t="shared" ca="1" si="286"/>
        <v>8421071.2599999998</v>
      </c>
      <c r="AE101" s="188">
        <f t="shared" ca="1" si="287"/>
        <v>1402419.4366666672</v>
      </c>
      <c r="AF101" s="70"/>
      <c r="AG101" s="126">
        <f t="shared" ca="1" si="258"/>
        <v>1403511.8766666667</v>
      </c>
      <c r="AH101" s="126"/>
      <c r="AI101" s="97">
        <f t="shared" ca="1" si="288"/>
        <v>0</v>
      </c>
      <c r="AJ101" s="97">
        <f t="shared" ca="1" si="259"/>
        <v>7017559.3833333338</v>
      </c>
      <c r="AK101" s="151">
        <f t="shared" ca="1" si="289"/>
        <v>8421071.2599999998</v>
      </c>
      <c r="AL101" s="188">
        <f t="shared" ca="1" si="290"/>
        <v>1403511.8766666667</v>
      </c>
      <c r="AM101" s="70"/>
      <c r="AN101" s="126">
        <f t="shared" ca="1" si="260"/>
        <v>1403511.8766666667</v>
      </c>
      <c r="AO101" s="126"/>
      <c r="AP101" s="97">
        <f t="shared" ca="1" si="291"/>
        <v>0</v>
      </c>
      <c r="AQ101" s="97">
        <f t="shared" ca="1" si="261"/>
        <v>8421071.2599999998</v>
      </c>
      <c r="AR101" s="151">
        <f t="shared" ca="1" si="292"/>
        <v>8421071.2599999998</v>
      </c>
      <c r="AS101" s="188">
        <f t="shared" ca="1" si="293"/>
        <v>1403511.8766666667</v>
      </c>
      <c r="AT101" s="70"/>
      <c r="AU101" s="126">
        <f t="shared" ca="1" si="262"/>
        <v>1403511.8766666667</v>
      </c>
      <c r="AV101" s="126"/>
      <c r="AW101" s="97">
        <f t="shared" ca="1" si="294"/>
        <v>0</v>
      </c>
      <c r="AX101" s="126">
        <f t="shared" ca="1" si="263"/>
        <v>9824583.1366666667</v>
      </c>
      <c r="AY101" s="151">
        <f t="shared" ca="1" si="295"/>
        <v>8421071.2599999998</v>
      </c>
      <c r="AZ101" s="188">
        <f t="shared" ca="1" si="296"/>
        <v>1403511.8766666667</v>
      </c>
      <c r="BA101" s="144"/>
      <c r="BB101" s="126">
        <f t="shared" ca="1" si="264"/>
        <v>1403511.8766666667</v>
      </c>
      <c r="BC101" s="126"/>
      <c r="BD101" s="97">
        <f t="shared" ca="1" si="297"/>
        <v>0</v>
      </c>
      <c r="BE101" s="97">
        <f t="shared" ca="1" si="265"/>
        <v>11228095.013333334</v>
      </c>
      <c r="BF101" s="151">
        <f t="shared" ca="1" si="298"/>
        <v>8421071.2599999998</v>
      </c>
      <c r="BG101" s="188">
        <f t="shared" ca="1" si="299"/>
        <v>1403511.8766666667</v>
      </c>
      <c r="BH101" s="144"/>
      <c r="BI101" s="126">
        <f t="shared" ca="1" si="266"/>
        <v>1403511.8766666667</v>
      </c>
      <c r="BJ101" s="126"/>
      <c r="BK101" s="97">
        <f t="shared" ca="1" si="480"/>
        <v>0</v>
      </c>
      <c r="BL101" s="97">
        <f t="shared" ca="1" si="268"/>
        <v>12631606.890000001</v>
      </c>
      <c r="BM101" s="151">
        <f t="shared" ca="1" si="300"/>
        <v>0</v>
      </c>
      <c r="BN101" s="188">
        <f t="shared" ca="1" si="301"/>
        <v>1403511.8766666667</v>
      </c>
      <c r="BO101" s="144"/>
      <c r="BP101" s="126">
        <f t="shared" ca="1" si="269"/>
        <v>1403511.8766666667</v>
      </c>
      <c r="BQ101" s="126"/>
      <c r="BR101" s="97">
        <f t="shared" ca="1" si="302"/>
        <v>0</v>
      </c>
      <c r="BS101" s="97">
        <f t="shared" ca="1" si="270"/>
        <v>14035118.766666668</v>
      </c>
      <c r="BT101" s="151">
        <f t="shared" ca="1" si="303"/>
        <v>0</v>
      </c>
      <c r="BU101" s="188">
        <f t="shared" ca="1" si="304"/>
        <v>1403511.8766666667</v>
      </c>
      <c r="BV101" s="144"/>
      <c r="BW101" s="126">
        <f t="shared" ca="1" si="271"/>
        <v>1403511.8766666667</v>
      </c>
      <c r="BX101" s="126"/>
      <c r="BY101" s="97">
        <f t="shared" ca="1" si="305"/>
        <v>0</v>
      </c>
      <c r="BZ101" s="97">
        <f t="shared" ca="1" si="272"/>
        <v>15438630.643333334</v>
      </c>
      <c r="CA101" s="151">
        <f t="shared" ca="1" si="306"/>
        <v>0</v>
      </c>
      <c r="CB101" s="188">
        <f t="shared" ca="1" si="307"/>
        <v>1403511.8766666667</v>
      </c>
      <c r="CC101" s="144"/>
      <c r="CD101" s="126">
        <f t="shared" ca="1" si="308"/>
        <v>1403511.8766666667</v>
      </c>
      <c r="CE101" s="126"/>
      <c r="CF101" s="97">
        <f t="shared" ca="1" si="309"/>
        <v>0</v>
      </c>
      <c r="CG101" s="97">
        <f t="shared" ca="1" si="274"/>
        <v>16842142.52</v>
      </c>
      <c r="CH101" s="151">
        <f t="shared" ca="1" si="310"/>
        <v>0</v>
      </c>
      <c r="CI101" s="188">
        <f t="shared" ca="1" si="311"/>
        <v>1403511.8766666667</v>
      </c>
      <c r="CJ101" s="5"/>
      <c r="CK101" s="5"/>
      <c r="CL101" s="5"/>
    </row>
    <row r="102" spans="1:90" s="6" customFormat="1">
      <c r="A102" s="133" t="s">
        <v>157</v>
      </c>
      <c r="B102" s="63">
        <v>51550501</v>
      </c>
      <c r="C102" s="134">
        <f t="shared" ca="1" si="275"/>
        <v>4210000</v>
      </c>
      <c r="D102" s="78"/>
      <c r="E102" s="126">
        <f ca="1">$C102/COUNTA(E$1:$CI$1)</f>
        <v>350833.33333333331</v>
      </c>
      <c r="F102" s="126"/>
      <c r="G102" s="104">
        <f t="shared" ca="1" si="251"/>
        <v>450000</v>
      </c>
      <c r="H102" s="98">
        <f t="shared" ca="1" si="276"/>
        <v>350833.33333333331</v>
      </c>
      <c r="I102" s="57">
        <f t="shared" ca="1" si="252"/>
        <v>450000</v>
      </c>
      <c r="J102" s="188">
        <f t="shared" ca="1" si="277"/>
        <v>99166.666666666686</v>
      </c>
      <c r="K102" s="70"/>
      <c r="L102" s="126">
        <f t="shared" ca="1" si="312"/>
        <v>350833.33333333331</v>
      </c>
      <c r="M102" s="126"/>
      <c r="N102" s="97">
        <f t="shared" ca="1" si="278"/>
        <v>0</v>
      </c>
      <c r="O102" s="98">
        <f t="shared" ca="1" si="279"/>
        <v>701666.66666666663</v>
      </c>
      <c r="P102" s="151">
        <f t="shared" ca="1" si="280"/>
        <v>450000</v>
      </c>
      <c r="Q102" s="188">
        <f t="shared" ca="1" si="281"/>
        <v>350833.33333333331</v>
      </c>
      <c r="R102" s="70"/>
      <c r="S102" s="126">
        <f t="shared" ca="1" si="254"/>
        <v>350833.33333333331</v>
      </c>
      <c r="T102" s="126"/>
      <c r="U102" s="97">
        <f t="shared" ca="1" si="282"/>
        <v>0</v>
      </c>
      <c r="V102" s="97">
        <f t="shared" ca="1" si="255"/>
        <v>1052500</v>
      </c>
      <c r="W102" s="151">
        <f t="shared" ca="1" si="283"/>
        <v>450000</v>
      </c>
      <c r="X102" s="188">
        <f t="shared" ca="1" si="284"/>
        <v>350833.33333333331</v>
      </c>
      <c r="Y102" s="70"/>
      <c r="Z102" s="126">
        <f t="shared" ca="1" si="256"/>
        <v>350833.33333333331</v>
      </c>
      <c r="AA102" s="126"/>
      <c r="AB102" s="97">
        <f t="shared" ca="1" si="285"/>
        <v>270000</v>
      </c>
      <c r="AC102" s="97">
        <f t="shared" ca="1" si="257"/>
        <v>1403333.3333333333</v>
      </c>
      <c r="AD102" s="151">
        <f t="shared" ca="1" si="286"/>
        <v>720000</v>
      </c>
      <c r="AE102" s="188">
        <f t="shared" ca="1" si="287"/>
        <v>80833.333333333314</v>
      </c>
      <c r="AF102" s="70"/>
      <c r="AG102" s="126">
        <f t="shared" ca="1" si="258"/>
        <v>350833.33333333331</v>
      </c>
      <c r="AH102" s="126"/>
      <c r="AI102" s="97">
        <f t="shared" ca="1" si="288"/>
        <v>330000</v>
      </c>
      <c r="AJ102" s="97">
        <f t="shared" ca="1" si="259"/>
        <v>1754166.6666666665</v>
      </c>
      <c r="AK102" s="151">
        <f t="shared" ca="1" si="289"/>
        <v>1050000</v>
      </c>
      <c r="AL102" s="188">
        <f t="shared" ca="1" si="290"/>
        <v>20833.333333333314</v>
      </c>
      <c r="AM102" s="70"/>
      <c r="AN102" s="126">
        <f t="shared" ca="1" si="260"/>
        <v>350833.33333333331</v>
      </c>
      <c r="AO102" s="126"/>
      <c r="AP102" s="97">
        <f t="shared" ca="1" si="291"/>
        <v>1055000</v>
      </c>
      <c r="AQ102" s="97">
        <f t="shared" ca="1" si="261"/>
        <v>2105000</v>
      </c>
      <c r="AR102" s="151">
        <f t="shared" ca="1" si="292"/>
        <v>2105000</v>
      </c>
      <c r="AS102" s="188">
        <f t="shared" ca="1" si="293"/>
        <v>-704166.66666666674</v>
      </c>
      <c r="AT102" s="70"/>
      <c r="AU102" s="126">
        <f t="shared" ca="1" si="262"/>
        <v>350833.33333333331</v>
      </c>
      <c r="AV102" s="126"/>
      <c r="AW102" s="97">
        <f t="shared" ca="1" si="294"/>
        <v>1050000</v>
      </c>
      <c r="AX102" s="126">
        <f t="shared" ca="1" si="263"/>
        <v>2455833.3333333335</v>
      </c>
      <c r="AY102" s="151">
        <f t="shared" ca="1" si="295"/>
        <v>3155000</v>
      </c>
      <c r="AZ102" s="188">
        <f t="shared" ca="1" si="296"/>
        <v>-699166.66666666674</v>
      </c>
      <c r="BA102" s="144"/>
      <c r="BB102" s="126">
        <f t="shared" ca="1" si="264"/>
        <v>350833.33333333331</v>
      </c>
      <c r="BC102" s="126"/>
      <c r="BD102" s="97">
        <f t="shared" ca="1" si="297"/>
        <v>2039878</v>
      </c>
      <c r="BE102" s="97">
        <f t="shared" ca="1" si="265"/>
        <v>2806666.666666667</v>
      </c>
      <c r="BF102" s="151">
        <f t="shared" ca="1" si="298"/>
        <v>5194878</v>
      </c>
      <c r="BG102" s="188">
        <f t="shared" ca="1" si="299"/>
        <v>-1689044.6666666667</v>
      </c>
      <c r="BH102" s="144"/>
      <c r="BI102" s="126">
        <f t="shared" ca="1" si="266"/>
        <v>350833.33333333331</v>
      </c>
      <c r="BJ102" s="126"/>
      <c r="BK102" s="97">
        <f t="shared" ca="1" si="480"/>
        <v>0</v>
      </c>
      <c r="BL102" s="97">
        <f t="shared" ca="1" si="268"/>
        <v>3157500.0000000005</v>
      </c>
      <c r="BM102" s="151">
        <f t="shared" ca="1" si="300"/>
        <v>0</v>
      </c>
      <c r="BN102" s="188">
        <f t="shared" ca="1" si="301"/>
        <v>350833.33333333331</v>
      </c>
      <c r="BO102" s="144"/>
      <c r="BP102" s="126">
        <f t="shared" ca="1" si="269"/>
        <v>350833.33333333331</v>
      </c>
      <c r="BQ102" s="126"/>
      <c r="BR102" s="97">
        <f t="shared" ca="1" si="302"/>
        <v>0</v>
      </c>
      <c r="BS102" s="97">
        <f t="shared" ca="1" si="270"/>
        <v>3508333.333333334</v>
      </c>
      <c r="BT102" s="151">
        <f t="shared" ca="1" si="303"/>
        <v>0</v>
      </c>
      <c r="BU102" s="188">
        <f t="shared" ca="1" si="304"/>
        <v>350833.33333333331</v>
      </c>
      <c r="BV102" s="144"/>
      <c r="BW102" s="126">
        <f t="shared" ca="1" si="271"/>
        <v>350833.33333333331</v>
      </c>
      <c r="BX102" s="126"/>
      <c r="BY102" s="97">
        <f t="shared" ca="1" si="305"/>
        <v>0</v>
      </c>
      <c r="BZ102" s="97">
        <f t="shared" ca="1" si="272"/>
        <v>3859166.6666666674</v>
      </c>
      <c r="CA102" s="151">
        <f t="shared" ca="1" si="306"/>
        <v>0</v>
      </c>
      <c r="CB102" s="188">
        <f t="shared" ca="1" si="307"/>
        <v>350833.33333333331</v>
      </c>
      <c r="CC102" s="144"/>
      <c r="CD102" s="126">
        <f t="shared" ca="1" si="308"/>
        <v>350833.33333333331</v>
      </c>
      <c r="CE102" s="126"/>
      <c r="CF102" s="97">
        <f t="shared" ca="1" si="309"/>
        <v>0</v>
      </c>
      <c r="CG102" s="97">
        <f t="shared" ca="1" si="274"/>
        <v>4210000.0000000009</v>
      </c>
      <c r="CH102" s="151">
        <f t="shared" ca="1" si="310"/>
        <v>0</v>
      </c>
      <c r="CI102" s="188">
        <f t="shared" ca="1" si="311"/>
        <v>350833.33333333331</v>
      </c>
      <c r="CJ102" s="5"/>
      <c r="CK102" s="5"/>
      <c r="CL102" s="5"/>
    </row>
    <row r="103" spans="1:90" s="6" customFormat="1">
      <c r="A103" s="133" t="s">
        <v>158</v>
      </c>
      <c r="B103" s="63">
        <v>51550505</v>
      </c>
      <c r="C103" s="134">
        <f t="shared" ca="1" si="275"/>
        <v>750828</v>
      </c>
      <c r="D103" s="78"/>
      <c r="E103" s="126">
        <f ca="1">$C103/COUNTA(E$1:$CI$1)</f>
        <v>62569</v>
      </c>
      <c r="F103" s="126"/>
      <c r="G103" s="104">
        <f t="shared" ca="1" si="251"/>
        <v>0</v>
      </c>
      <c r="H103" s="98">
        <f t="shared" ca="1" si="276"/>
        <v>62569</v>
      </c>
      <c r="I103" s="57">
        <f t="shared" ca="1" si="252"/>
        <v>0</v>
      </c>
      <c r="J103" s="188">
        <f t="shared" ca="1" si="277"/>
        <v>-62569</v>
      </c>
      <c r="K103" s="70"/>
      <c r="L103" s="126">
        <f t="shared" ca="1" si="312"/>
        <v>62569</v>
      </c>
      <c r="M103" s="126"/>
      <c r="N103" s="97">
        <f t="shared" ca="1" si="278"/>
        <v>0</v>
      </c>
      <c r="O103" s="98">
        <f t="shared" ca="1" si="279"/>
        <v>125138</v>
      </c>
      <c r="P103" s="151">
        <f t="shared" ca="1" si="280"/>
        <v>0</v>
      </c>
      <c r="Q103" s="188">
        <f t="shared" ca="1" si="281"/>
        <v>62569</v>
      </c>
      <c r="R103" s="70"/>
      <c r="S103" s="126">
        <f t="shared" ca="1" si="254"/>
        <v>62569</v>
      </c>
      <c r="T103" s="126"/>
      <c r="U103" s="97">
        <f t="shared" ca="1" si="282"/>
        <v>0</v>
      </c>
      <c r="V103" s="97">
        <f t="shared" ca="1" si="255"/>
        <v>187707</v>
      </c>
      <c r="W103" s="151">
        <f t="shared" ca="1" si="283"/>
        <v>0</v>
      </c>
      <c r="X103" s="188">
        <f t="shared" ca="1" si="284"/>
        <v>62569</v>
      </c>
      <c r="Y103" s="70"/>
      <c r="Z103" s="126">
        <f t="shared" ca="1" si="256"/>
        <v>62569</v>
      </c>
      <c r="AA103" s="126"/>
      <c r="AB103" s="97">
        <f t="shared" ca="1" si="285"/>
        <v>0</v>
      </c>
      <c r="AC103" s="97">
        <f t="shared" ca="1" si="257"/>
        <v>250276</v>
      </c>
      <c r="AD103" s="151">
        <f t="shared" ca="1" si="286"/>
        <v>0</v>
      </c>
      <c r="AE103" s="188">
        <f t="shared" ca="1" si="287"/>
        <v>62569</v>
      </c>
      <c r="AF103" s="70"/>
      <c r="AG103" s="126">
        <f t="shared" ca="1" si="258"/>
        <v>62569</v>
      </c>
      <c r="AH103" s="126"/>
      <c r="AI103" s="97">
        <f t="shared" ca="1" si="288"/>
        <v>16600</v>
      </c>
      <c r="AJ103" s="97">
        <f t="shared" ca="1" si="259"/>
        <v>312845</v>
      </c>
      <c r="AK103" s="151">
        <f t="shared" ca="1" si="289"/>
        <v>16600</v>
      </c>
      <c r="AL103" s="188">
        <f t="shared" ca="1" si="290"/>
        <v>45969</v>
      </c>
      <c r="AM103" s="70"/>
      <c r="AN103" s="126">
        <f t="shared" ca="1" si="260"/>
        <v>62569</v>
      </c>
      <c r="AO103" s="126"/>
      <c r="AP103" s="97">
        <f t="shared" ca="1" si="291"/>
        <v>358814</v>
      </c>
      <c r="AQ103" s="97">
        <f t="shared" ca="1" si="261"/>
        <v>375414</v>
      </c>
      <c r="AR103" s="151">
        <f t="shared" ca="1" si="292"/>
        <v>375414</v>
      </c>
      <c r="AS103" s="188">
        <f t="shared" ca="1" si="293"/>
        <v>-296245</v>
      </c>
      <c r="AT103" s="70"/>
      <c r="AU103" s="126">
        <f t="shared" ca="1" si="262"/>
        <v>62569</v>
      </c>
      <c r="AV103" s="126"/>
      <c r="AW103" s="97">
        <f t="shared" ca="1" si="294"/>
        <v>0</v>
      </c>
      <c r="AX103" s="126">
        <f t="shared" ca="1" si="263"/>
        <v>437983</v>
      </c>
      <c r="AY103" s="151">
        <f t="shared" ca="1" si="295"/>
        <v>375414</v>
      </c>
      <c r="AZ103" s="188">
        <f t="shared" ca="1" si="296"/>
        <v>62569</v>
      </c>
      <c r="BA103" s="144"/>
      <c r="BB103" s="126">
        <f t="shared" ca="1" si="264"/>
        <v>62569</v>
      </c>
      <c r="BC103" s="126"/>
      <c r="BD103" s="97">
        <f t="shared" ca="1" si="297"/>
        <v>0</v>
      </c>
      <c r="BE103" s="97">
        <f t="shared" ca="1" si="265"/>
        <v>500552</v>
      </c>
      <c r="BF103" s="151">
        <f t="shared" ca="1" si="298"/>
        <v>375414</v>
      </c>
      <c r="BG103" s="188">
        <f t="shared" ca="1" si="299"/>
        <v>62569</v>
      </c>
      <c r="BH103" s="144"/>
      <c r="BI103" s="126">
        <f t="shared" ca="1" si="266"/>
        <v>62569</v>
      </c>
      <c r="BJ103" s="126"/>
      <c r="BK103" s="97">
        <f t="shared" ca="1" si="480"/>
        <v>0</v>
      </c>
      <c r="BL103" s="97">
        <f t="shared" ca="1" si="268"/>
        <v>563121</v>
      </c>
      <c r="BM103" s="151">
        <f t="shared" ca="1" si="300"/>
        <v>0</v>
      </c>
      <c r="BN103" s="188">
        <f t="shared" ca="1" si="301"/>
        <v>62569</v>
      </c>
      <c r="BO103" s="144"/>
      <c r="BP103" s="126">
        <f t="shared" ca="1" si="269"/>
        <v>62569</v>
      </c>
      <c r="BQ103" s="126"/>
      <c r="BR103" s="97">
        <f t="shared" ca="1" si="302"/>
        <v>0</v>
      </c>
      <c r="BS103" s="97">
        <f t="shared" ca="1" si="270"/>
        <v>625690</v>
      </c>
      <c r="BT103" s="151">
        <f t="shared" ca="1" si="303"/>
        <v>0</v>
      </c>
      <c r="BU103" s="188">
        <f t="shared" ca="1" si="304"/>
        <v>62569</v>
      </c>
      <c r="BV103" s="144"/>
      <c r="BW103" s="126">
        <f t="shared" ca="1" si="271"/>
        <v>62569</v>
      </c>
      <c r="BX103" s="126"/>
      <c r="BY103" s="97">
        <f t="shared" ca="1" si="305"/>
        <v>0</v>
      </c>
      <c r="BZ103" s="97">
        <f t="shared" ca="1" si="272"/>
        <v>688259</v>
      </c>
      <c r="CA103" s="151">
        <f t="shared" ca="1" si="306"/>
        <v>0</v>
      </c>
      <c r="CB103" s="188">
        <f t="shared" ca="1" si="307"/>
        <v>62569</v>
      </c>
      <c r="CC103" s="144"/>
      <c r="CD103" s="126">
        <f t="shared" ca="1" si="308"/>
        <v>62569</v>
      </c>
      <c r="CE103" s="126"/>
      <c r="CF103" s="97">
        <f t="shared" ca="1" si="309"/>
        <v>0</v>
      </c>
      <c r="CG103" s="97">
        <f t="shared" ca="1" si="274"/>
        <v>750828</v>
      </c>
      <c r="CH103" s="151">
        <f t="shared" ca="1" si="310"/>
        <v>0</v>
      </c>
      <c r="CI103" s="188">
        <f t="shared" ca="1" si="311"/>
        <v>62569</v>
      </c>
      <c r="CJ103" s="5"/>
      <c r="CK103" s="5"/>
      <c r="CL103" s="5"/>
    </row>
    <row r="104" spans="1:90" s="6" customFormat="1">
      <c r="A104" s="133" t="s">
        <v>409</v>
      </c>
      <c r="B104" s="63">
        <v>51551501</v>
      </c>
      <c r="C104" s="134">
        <f t="shared" ca="1" si="275"/>
        <v>2823895.26</v>
      </c>
      <c r="D104" s="78"/>
      <c r="E104" s="126">
        <f ca="1">$C104/COUNTA(E$1:$CI$1)</f>
        <v>235324.60499999998</v>
      </c>
      <c r="F104" s="126"/>
      <c r="G104" s="104">
        <f ca="1">IFERROR(I104,0)</f>
        <v>0</v>
      </c>
      <c r="H104" s="98">
        <f ca="1">IFERROR(E104,0)</f>
        <v>235324.60499999998</v>
      </c>
      <c r="I104" s="57">
        <f ca="1">IFERROR(IFERROR(VLOOKUP(TEXT($B104,0),INDIRECT("'Balance a "&amp;LEFT(E$1,3)&amp;"'!$B$3:$G$300"),4,0),VLOOKUP(VALUE($B104),INDIRECT("'Balance a "&amp;LEFT(E$1,3)&amp;"'!$B$3:$G$300"),4,0)),0)</f>
        <v>0</v>
      </c>
      <c r="J104" s="188">
        <f ca="1">IFERROR(G104-E104,0)</f>
        <v>-235324.60499999998</v>
      </c>
      <c r="K104" s="70"/>
      <c r="L104" s="126">
        <f t="shared" ca="1" si="312"/>
        <v>235324.60499999998</v>
      </c>
      <c r="M104" s="126"/>
      <c r="N104" s="97">
        <f t="shared" ca="1" si="278"/>
        <v>0</v>
      </c>
      <c r="O104" s="98">
        <f t="shared" ca="1" si="279"/>
        <v>470649.20999999996</v>
      </c>
      <c r="P104" s="151">
        <f t="shared" ca="1" si="280"/>
        <v>0</v>
      </c>
      <c r="Q104" s="188">
        <f t="shared" ca="1" si="281"/>
        <v>235324.60499999998</v>
      </c>
      <c r="R104" s="70"/>
      <c r="S104" s="126">
        <f t="shared" ca="1" si="254"/>
        <v>235324.60499999998</v>
      </c>
      <c r="T104" s="126"/>
      <c r="U104" s="97">
        <f t="shared" ca="1" si="282"/>
        <v>0</v>
      </c>
      <c r="V104" s="97">
        <f t="shared" ca="1" si="255"/>
        <v>705973.81499999994</v>
      </c>
      <c r="W104" s="151">
        <f t="shared" ca="1" si="283"/>
        <v>0</v>
      </c>
      <c r="X104" s="188">
        <f t="shared" ca="1" si="284"/>
        <v>235324.60499999998</v>
      </c>
      <c r="Y104" s="70"/>
      <c r="Z104" s="126">
        <f t="shared" ca="1" si="256"/>
        <v>235324.60499999998</v>
      </c>
      <c r="AA104" s="126"/>
      <c r="AB104" s="97">
        <f t="shared" ca="1" si="285"/>
        <v>1411947.63</v>
      </c>
      <c r="AC104" s="97">
        <f t="shared" ca="1" si="257"/>
        <v>941298.41999999993</v>
      </c>
      <c r="AD104" s="151">
        <f t="shared" ca="1" si="286"/>
        <v>1411947.63</v>
      </c>
      <c r="AE104" s="188">
        <f t="shared" ca="1" si="287"/>
        <v>-1176623.0249999999</v>
      </c>
      <c r="AF104" s="70"/>
      <c r="AG104" s="126">
        <f t="shared" ca="1" si="258"/>
        <v>235324.60499999998</v>
      </c>
      <c r="AH104" s="126"/>
      <c r="AI104" s="97">
        <f t="shared" ca="1" si="288"/>
        <v>0</v>
      </c>
      <c r="AJ104" s="97">
        <f t="shared" ca="1" si="259"/>
        <v>1176623.0249999999</v>
      </c>
      <c r="AK104" s="151">
        <f t="shared" ca="1" si="289"/>
        <v>1411947.63</v>
      </c>
      <c r="AL104" s="188">
        <f t="shared" ca="1" si="290"/>
        <v>235324.60499999998</v>
      </c>
      <c r="AM104" s="70"/>
      <c r="AN104" s="126">
        <f t="shared" ca="1" si="260"/>
        <v>235324.60499999998</v>
      </c>
      <c r="AO104" s="126"/>
      <c r="AP104" s="97">
        <f t="shared" ca="1" si="291"/>
        <v>0</v>
      </c>
      <c r="AQ104" s="97">
        <f t="shared" ca="1" si="261"/>
        <v>1411947.63</v>
      </c>
      <c r="AR104" s="151">
        <f t="shared" ca="1" si="292"/>
        <v>1411947.63</v>
      </c>
      <c r="AS104" s="188">
        <f t="shared" ca="1" si="293"/>
        <v>235324.60499999998</v>
      </c>
      <c r="AT104" s="70"/>
      <c r="AU104" s="126">
        <f t="shared" ca="1" si="262"/>
        <v>235324.60499999998</v>
      </c>
      <c r="AV104" s="126"/>
      <c r="AW104" s="97">
        <f t="shared" ca="1" si="294"/>
        <v>0</v>
      </c>
      <c r="AX104" s="126">
        <f t="shared" ca="1" si="263"/>
        <v>1647272.2349999999</v>
      </c>
      <c r="AY104" s="151">
        <f t="shared" ca="1" si="295"/>
        <v>1411947.63</v>
      </c>
      <c r="AZ104" s="188">
        <f t="shared" ca="1" si="296"/>
        <v>235324.60499999998</v>
      </c>
      <c r="BA104" s="144"/>
      <c r="BB104" s="126">
        <f t="shared" ca="1" si="264"/>
        <v>235324.60499999998</v>
      </c>
      <c r="BC104" s="126"/>
      <c r="BD104" s="97">
        <f t="shared" ca="1" si="297"/>
        <v>0</v>
      </c>
      <c r="BE104" s="97">
        <f t="shared" ca="1" si="265"/>
        <v>1882596.8399999999</v>
      </c>
      <c r="BF104" s="151">
        <f t="shared" ca="1" si="298"/>
        <v>1411947.63</v>
      </c>
      <c r="BG104" s="188">
        <f t="shared" ca="1" si="299"/>
        <v>235324.60499999998</v>
      </c>
      <c r="BH104" s="144"/>
      <c r="BI104" s="126">
        <f t="shared" ca="1" si="266"/>
        <v>235324.60499999998</v>
      </c>
      <c r="BJ104" s="126"/>
      <c r="BK104" s="97">
        <f t="shared" ca="1" si="480"/>
        <v>0</v>
      </c>
      <c r="BL104" s="97">
        <f t="shared" ca="1" si="268"/>
        <v>2117921.4449999998</v>
      </c>
      <c r="BM104" s="151">
        <f t="shared" ca="1" si="300"/>
        <v>0</v>
      </c>
      <c r="BN104" s="188">
        <f t="shared" ca="1" si="301"/>
        <v>235324.60499999998</v>
      </c>
      <c r="BO104" s="144"/>
      <c r="BP104" s="126">
        <f t="shared" ca="1" si="269"/>
        <v>235324.60499999998</v>
      </c>
      <c r="BQ104" s="126"/>
      <c r="BR104" s="97">
        <f t="shared" ca="1" si="302"/>
        <v>0</v>
      </c>
      <c r="BS104" s="97">
        <f t="shared" ca="1" si="270"/>
        <v>2353246.0499999998</v>
      </c>
      <c r="BT104" s="151">
        <f t="shared" ca="1" si="303"/>
        <v>0</v>
      </c>
      <c r="BU104" s="188">
        <f t="shared" ca="1" si="304"/>
        <v>235324.60499999998</v>
      </c>
      <c r="BV104" s="144"/>
      <c r="BW104" s="126">
        <f t="shared" ca="1" si="271"/>
        <v>235324.60499999998</v>
      </c>
      <c r="BX104" s="126"/>
      <c r="BY104" s="97">
        <f t="shared" ca="1" si="305"/>
        <v>0</v>
      </c>
      <c r="BZ104" s="97">
        <f t="shared" ca="1" si="272"/>
        <v>2588570.6549999998</v>
      </c>
      <c r="CA104" s="151">
        <f t="shared" ca="1" si="306"/>
        <v>0</v>
      </c>
      <c r="CB104" s="188">
        <f t="shared" ca="1" si="307"/>
        <v>235324.60499999998</v>
      </c>
      <c r="CC104" s="144"/>
      <c r="CD104" s="126">
        <f t="shared" ca="1" si="308"/>
        <v>235324.60499999998</v>
      </c>
      <c r="CE104" s="126"/>
      <c r="CF104" s="97">
        <f t="shared" ca="1" si="309"/>
        <v>0</v>
      </c>
      <c r="CG104" s="97">
        <f t="shared" ca="1" si="274"/>
        <v>2823895.26</v>
      </c>
      <c r="CH104" s="151">
        <f t="shared" ca="1" si="310"/>
        <v>0</v>
      </c>
      <c r="CI104" s="188">
        <f t="shared" ca="1" si="311"/>
        <v>235324.60499999998</v>
      </c>
      <c r="CJ104" s="5"/>
      <c r="CK104" s="5"/>
      <c r="CL104" s="5"/>
    </row>
    <row r="105" spans="1:90" s="6" customFormat="1">
      <c r="A105" s="133" t="s">
        <v>609</v>
      </c>
      <c r="B105" s="63">
        <v>51559501</v>
      </c>
      <c r="C105" s="134">
        <f t="shared" ca="1" si="275"/>
        <v>0</v>
      </c>
      <c r="D105" s="78"/>
      <c r="E105" s="126">
        <f ca="1">$C105/COUNTA(E$1:$CI$1)</f>
        <v>0</v>
      </c>
      <c r="F105" s="126"/>
      <c r="G105" s="104">
        <f ca="1">IFERROR(I105,0)</f>
        <v>0</v>
      </c>
      <c r="H105" s="98">
        <f ca="1">IFERROR(E105,0)</f>
        <v>0</v>
      </c>
      <c r="I105" s="57">
        <f ca="1">IFERROR(IFERROR(VLOOKUP(TEXT($B105,0),INDIRECT("'Balance a "&amp;LEFT(E$1,3)&amp;"'!$B$3:$G$300"),4,0),VLOOKUP(VALUE($B105),INDIRECT("'Balance a "&amp;LEFT(E$1,3)&amp;"'!$B$3:$G$300"),4,0)),0)</f>
        <v>0</v>
      </c>
      <c r="J105" s="188">
        <f ca="1">IFERROR(G105-E105,0)</f>
        <v>0</v>
      </c>
      <c r="K105" s="70"/>
      <c r="L105" s="126">
        <f t="shared" ref="L105" ca="1" si="597">E105+F105</f>
        <v>0</v>
      </c>
      <c r="M105" s="126"/>
      <c r="N105" s="97">
        <f t="shared" ref="N105" ca="1" si="598">IFERROR(P105-I105,0)</f>
        <v>0</v>
      </c>
      <c r="O105" s="98">
        <f t="shared" ref="O105" ca="1" si="599">SUM(E105:F105,L105:M105)</f>
        <v>0</v>
      </c>
      <c r="P105" s="151">
        <f t="shared" ref="P105" ca="1" si="600">IFERROR(IFERROR(VLOOKUP(TEXT($B105,0),INDIRECT("'Balance a "&amp;LEFT(L$1,3)&amp;"'!$B$3:$G$300"),6,0),VLOOKUP(VALUE($B105),INDIRECT("'Balance a "&amp;LEFT(L$1,3)&amp;"'!$B$3:$G$300"),6,0)),0)</f>
        <v>0</v>
      </c>
      <c r="Q105" s="188">
        <f t="shared" ref="Q105" ca="1" si="601">IFERROR(SUM(L105:M105)-N105,0)</f>
        <v>0</v>
      </c>
      <c r="R105" s="70"/>
      <c r="S105" s="126">
        <f t="shared" ref="S105" ca="1" si="602">L105+M105</f>
        <v>0</v>
      </c>
      <c r="T105" s="126"/>
      <c r="U105" s="97">
        <f t="shared" ref="U105" ca="1" si="603">IFERROR(W105-P105,0)</f>
        <v>0</v>
      </c>
      <c r="V105" s="97">
        <f t="shared" ref="V105" ca="1" si="604">SUM(E105:F105,L105:M105,S105:T105)</f>
        <v>0</v>
      </c>
      <c r="W105" s="151">
        <f t="shared" ref="W105" ca="1" si="605">IFERROR(IFERROR(VLOOKUP(TEXT($B105,0),INDIRECT("'Balance a "&amp;LEFT(S$1,3)&amp;"'!$B$3:$G$300"),6,0),VLOOKUP(VALUE($B105),INDIRECT("'Balance a "&amp;LEFT(S$1,3)&amp;"'!$B$3:$G$300"),6,0)),0)</f>
        <v>0</v>
      </c>
      <c r="X105" s="188">
        <f t="shared" ref="X105" ca="1" si="606">IFERROR(SUM(S105:T105)-U105,0)</f>
        <v>0</v>
      </c>
      <c r="Y105" s="70"/>
      <c r="Z105" s="126">
        <f t="shared" ref="Z105" ca="1" si="607">S105+T105</f>
        <v>0</v>
      </c>
      <c r="AA105" s="126"/>
      <c r="AB105" s="97">
        <f t="shared" ref="AB105" ca="1" si="608">IFERROR(AD105-W105,0)</f>
        <v>0</v>
      </c>
      <c r="AC105" s="97">
        <f t="shared" ref="AC105" ca="1" si="609">SUM(E105:F105,L105:M105,S105:T105,Z105:AA105)</f>
        <v>0</v>
      </c>
      <c r="AD105" s="151">
        <f t="shared" ref="AD105" ca="1" si="610">IFERROR(IFERROR(VLOOKUP(TEXT($B105,0),INDIRECT("'Balance a "&amp;LEFT(Z$1,3)&amp;"'!$B$3:$G$300"),6,0),VLOOKUP(VALUE($B105),INDIRECT("'Balance a "&amp;LEFT(Z$1,3)&amp;"'!$B$3:$G$300"),6,0)),0)</f>
        <v>0</v>
      </c>
      <c r="AE105" s="188">
        <f t="shared" ref="AE105" ca="1" si="611">IFERROR(SUM(Z105:AA105)-AB105,0)</f>
        <v>0</v>
      </c>
      <c r="AF105" s="70"/>
      <c r="AG105" s="126">
        <f t="shared" ref="AG105" ca="1" si="612">Z105+AA105</f>
        <v>0</v>
      </c>
      <c r="AH105" s="126"/>
      <c r="AI105" s="97">
        <f t="shared" ref="AI105" ca="1" si="613">IFERROR(AK105-AD105,0)</f>
        <v>0</v>
      </c>
      <c r="AJ105" s="97">
        <f t="shared" ref="AJ105" ca="1" si="614">SUM(E105:F105,L105:M105,S105:T105,Z105:AA105,AG105:AH105)</f>
        <v>0</v>
      </c>
      <c r="AK105" s="151">
        <f t="shared" ref="AK105" ca="1" si="615">IFERROR(IFERROR(VLOOKUP(TEXT($B105,0),INDIRECT("'Balance a "&amp;LEFT(AG$1,3)&amp;"'!$B$3:$G$300"),6,0),VLOOKUP(VALUE($B105),INDIRECT("'Balance a "&amp;LEFT(AG$1,3)&amp;"'!$B$3:$G$300"),6,0)),0)</f>
        <v>0</v>
      </c>
      <c r="AL105" s="188">
        <f t="shared" ref="AL105" ca="1" si="616">IFERROR(SUM(AG105:AH105)-AI105,0)</f>
        <v>0</v>
      </c>
      <c r="AM105" s="70"/>
      <c r="AN105" s="126">
        <f t="shared" ref="AN105" ca="1" si="617">AG105+AH105</f>
        <v>0</v>
      </c>
      <c r="AO105" s="126"/>
      <c r="AP105" s="97">
        <f t="shared" ref="AP105" ca="1" si="618">IFERROR(AR105-AK105,0)</f>
        <v>0</v>
      </c>
      <c r="AQ105" s="97">
        <f t="shared" ref="AQ105" ca="1" si="619">SUM(E105:F105,L105:M105,S105:T105,Z105:AA105,AG105:AH105,AN105:AO105)</f>
        <v>0</v>
      </c>
      <c r="AR105" s="151">
        <f t="shared" ref="AR105" ca="1" si="620">IFERROR(IFERROR(VLOOKUP(TEXT($B105,0),INDIRECT("'Balance a "&amp;LEFT(AN$1,3)&amp;"'!$B$3:$G$300"),6,0),VLOOKUP(VALUE($B105),INDIRECT("'Balance a "&amp;LEFT(AN$1,3)&amp;"'!$B$3:$G$300"),6,0)),0)</f>
        <v>0</v>
      </c>
      <c r="AS105" s="188">
        <f t="shared" ref="AS105" ca="1" si="621">IFERROR(SUM(AN105:AO105)-AP105,0)</f>
        <v>0</v>
      </c>
      <c r="AT105" s="70"/>
      <c r="AU105" s="126">
        <f t="shared" ref="AU105" ca="1" si="622">AN105+AO105</f>
        <v>0</v>
      </c>
      <c r="AV105" s="126"/>
      <c r="AW105" s="97">
        <f t="shared" ref="AW105" ca="1" si="623">IFERROR(AY105-AR105,0)</f>
        <v>0</v>
      </c>
      <c r="AX105" s="126">
        <f t="shared" ref="AX105" ca="1" si="624">SUM(E105:F105,L105:M105,S105:T105,Z105:AA105,AG105:AH105,AN105:AO105,AU105:AV105)</f>
        <v>0</v>
      </c>
      <c r="AY105" s="151">
        <f t="shared" ref="AY105" ca="1" si="625">IFERROR(IFERROR(VLOOKUP(TEXT($B105,0),INDIRECT("'Balance a "&amp;LEFT(AU$1,3)&amp;"'!$B$3:$G$300"),6,0),VLOOKUP(VALUE($B105),INDIRECT("'Balance a "&amp;LEFT(AU$1,3)&amp;"'!$B$3:$G$300"),6,0)),0)</f>
        <v>0</v>
      </c>
      <c r="AZ105" s="188">
        <f t="shared" ref="AZ105" ca="1" si="626">IFERROR(SUM(AU105:AV105)-AW105,0)</f>
        <v>0</v>
      </c>
      <c r="BA105" s="144"/>
      <c r="BB105" s="126">
        <f t="shared" ref="BB105" ca="1" si="627">AU105+AV105</f>
        <v>0</v>
      </c>
      <c r="BC105" s="126"/>
      <c r="BD105" s="97">
        <f t="shared" ref="BD105" ca="1" si="628">IFERROR(BF105-AY105,0)</f>
        <v>19400</v>
      </c>
      <c r="BE105" s="97">
        <f t="shared" ref="BE105" ca="1" si="629">SUM(E105:F105,L105:M105,S105:T105,Z105:AA105,AG105:AH105,AN105:AO105,AU105:AV105,BB105:BC105)</f>
        <v>0</v>
      </c>
      <c r="BF105" s="151">
        <f t="shared" ref="BF105" ca="1" si="630">IFERROR(IFERROR(VLOOKUP(TEXT($B105,0),INDIRECT("'Balance a "&amp;LEFT(BB$1,3)&amp;"'!$B$3:$G$300"),6,0),VLOOKUP(VALUE($B105),INDIRECT("'Balance a "&amp;LEFT(BB$1,3)&amp;"'!$B$3:$G$300"),6,0)),0)</f>
        <v>19400</v>
      </c>
      <c r="BG105" s="188">
        <f t="shared" ref="BG105" ca="1" si="631">IFERROR(SUM(BB105:BC105)-BD105,0)</f>
        <v>-19400</v>
      </c>
      <c r="BH105" s="144"/>
      <c r="BI105" s="126">
        <f t="shared" ref="BI105" ca="1" si="632">BB105+BC105</f>
        <v>0</v>
      </c>
      <c r="BJ105" s="126"/>
      <c r="BK105" s="97">
        <f t="shared" ca="1" si="480"/>
        <v>0</v>
      </c>
      <c r="BL105" s="97">
        <f t="shared" ref="BL105" ca="1" si="633">SUM(E105:F105,L105:M105,S105:T105,Z105:AA105,AG105:AH105,AN105:AO105,AU105:AV105,BB105:BC105,BI105:BJ105)</f>
        <v>0</v>
      </c>
      <c r="BM105" s="151">
        <f t="shared" ref="BM105" ca="1" si="634">IFERROR(IFERROR(VLOOKUP(TEXT($B105,0),INDIRECT("'Balance a "&amp;LEFT(BI$1,3)&amp;"'!$B$3:$G$300"),6,0),VLOOKUP(VALUE($B105),INDIRECT("'Balance a "&amp;LEFT(BI$1,3)&amp;"'!$B$3:$G$300"),6,0)),0)</f>
        <v>0</v>
      </c>
      <c r="BN105" s="188">
        <f t="shared" ref="BN105" ca="1" si="635">IFERROR(SUM(BI105:BJ105)-BK105,0)</f>
        <v>0</v>
      </c>
      <c r="BO105" s="144"/>
      <c r="BP105" s="126">
        <f t="shared" ref="BP105" ca="1" si="636">BI105+BJ105</f>
        <v>0</v>
      </c>
      <c r="BQ105" s="126"/>
      <c r="BR105" s="97">
        <f t="shared" ref="BR105" ca="1" si="637">IFERROR(BT105-BM105,0)</f>
        <v>0</v>
      </c>
      <c r="BS105" s="97">
        <f t="shared" ref="BS105" ca="1" si="638">SUM(E105:F105,L105:M105,S105:T105,Z105:AA105,AG105:AH105,AN105:AO105,AU105:AV105,BB105:BC105,BI105:BJ105,BP105:BQ105)</f>
        <v>0</v>
      </c>
      <c r="BT105" s="151">
        <f t="shared" ref="BT105" ca="1" si="639">IFERROR(IFERROR(VLOOKUP(TEXT($B105,0),INDIRECT("'Balance a "&amp;LEFT(BP$1,3)&amp;"'!$B$3:$G$300"),6,0),VLOOKUP(VALUE($B105),INDIRECT("'Balance a "&amp;LEFT(BP$1,3)&amp;"'!$B$3:$G$300"),6,0)),0)</f>
        <v>0</v>
      </c>
      <c r="BU105" s="188">
        <f t="shared" ref="BU105" ca="1" si="640">IFERROR(SUM(BP105:BQ105)-BR105,0)</f>
        <v>0</v>
      </c>
      <c r="BV105" s="144"/>
      <c r="BW105" s="126">
        <f t="shared" ref="BW105" ca="1" si="641">BP105+BQ105</f>
        <v>0</v>
      </c>
      <c r="BX105" s="126"/>
      <c r="BY105" s="97">
        <f t="shared" ref="BY105" ca="1" si="642">IFERROR(CA105-BT105,0)</f>
        <v>0</v>
      </c>
      <c r="BZ105" s="97">
        <f t="shared" ref="BZ105" ca="1" si="643">SUM(E105:F105,L105:M105,S105:T105,Z105:AA105,AG105:AH105,AN105:AO105,AU105:AV105,BB105:BC105,BI105:BJ105,BP105:BQ105,BW105:BX105)</f>
        <v>0</v>
      </c>
      <c r="CA105" s="151">
        <f t="shared" ref="CA105" ca="1" si="644">IFERROR(IFERROR(VLOOKUP(TEXT($B105,0),INDIRECT("'Balance a "&amp;LEFT(BW$1,3)&amp;"'!$B$3:$G$300"),6,0),VLOOKUP(VALUE($B105),INDIRECT("'Balance a "&amp;LEFT(BW$1,3)&amp;"'!$B$3:$G$300"),6,0)),0)</f>
        <v>0</v>
      </c>
      <c r="CB105" s="188">
        <f t="shared" ref="CB105" ca="1" si="645">IFERROR(SUM(BW105:BX105)-BY105,0)</f>
        <v>0</v>
      </c>
      <c r="CC105" s="144"/>
      <c r="CD105" s="126">
        <f t="shared" ref="CD105" ca="1" si="646">BW105+BX105</f>
        <v>0</v>
      </c>
      <c r="CE105" s="126"/>
      <c r="CF105" s="97">
        <f t="shared" ref="CF105" ca="1" si="647">IFERROR(CH105-CA105,0)</f>
        <v>0</v>
      </c>
      <c r="CG105" s="97">
        <f t="shared" ref="CG105" ca="1" si="648">SUM(E105:F105,L105:M105,S105:T105,Z105:AA105,AG105:AH105,AN105:AO105,AU105:AV105,BB105:BC105,BI105:BJ105,BP105:BQ105,BW105:BX105,CD105:CE105)</f>
        <v>0</v>
      </c>
      <c r="CH105" s="151">
        <f t="shared" ref="CH105" ca="1" si="649">IFERROR(IFERROR(VLOOKUP(TEXT($B105,0),INDIRECT("'Balance a "&amp;LEFT(CD$1,3)&amp;"'!$B$3:$G$300"),6,0),VLOOKUP(VALUE($B105),INDIRECT("'Balance a "&amp;LEFT(CD$1,3)&amp;"'!$B$3:$G$300"),6,0)),0)</f>
        <v>0</v>
      </c>
      <c r="CI105" s="188">
        <f t="shared" ref="CI105" ca="1" si="650">IFERROR(SUM(CD105:CE105)-CF105,0)</f>
        <v>0</v>
      </c>
      <c r="CJ105" s="5"/>
      <c r="CK105" s="5"/>
      <c r="CL105" s="5"/>
    </row>
    <row r="106" spans="1:90" s="6" customFormat="1">
      <c r="A106" s="133" t="s">
        <v>159</v>
      </c>
      <c r="B106" s="63">
        <v>51559510</v>
      </c>
      <c r="C106" s="134">
        <f t="shared" ca="1" si="275"/>
        <v>266200</v>
      </c>
      <c r="D106" s="78"/>
      <c r="E106" s="126">
        <f ca="1">$C106/COUNTA(E$1:$CI$1)</f>
        <v>22183.333333333332</v>
      </c>
      <c r="F106" s="126"/>
      <c r="G106" s="104">
        <f t="shared" ca="1" si="251"/>
        <v>0</v>
      </c>
      <c r="H106" s="98">
        <f t="shared" ca="1" si="276"/>
        <v>22183.333333333332</v>
      </c>
      <c r="I106" s="57">
        <f t="shared" ca="1" si="252"/>
        <v>0</v>
      </c>
      <c r="J106" s="188">
        <f t="shared" ca="1" si="277"/>
        <v>-22183.333333333332</v>
      </c>
      <c r="K106" s="70"/>
      <c r="L106" s="126">
        <f t="shared" ca="1" si="312"/>
        <v>22183.333333333332</v>
      </c>
      <c r="M106" s="126"/>
      <c r="N106" s="97">
        <f t="shared" ca="1" si="278"/>
        <v>0</v>
      </c>
      <c r="O106" s="98">
        <f t="shared" ca="1" si="279"/>
        <v>44366.666666666664</v>
      </c>
      <c r="P106" s="151">
        <f t="shared" ca="1" si="280"/>
        <v>0</v>
      </c>
      <c r="Q106" s="188">
        <f t="shared" ca="1" si="281"/>
        <v>22183.333333333332</v>
      </c>
      <c r="R106" s="70"/>
      <c r="S106" s="126">
        <f t="shared" ca="1" si="254"/>
        <v>22183.333333333332</v>
      </c>
      <c r="T106" s="126"/>
      <c r="U106" s="97">
        <f t="shared" ca="1" si="282"/>
        <v>0</v>
      </c>
      <c r="V106" s="97">
        <f t="shared" ca="1" si="255"/>
        <v>66550</v>
      </c>
      <c r="W106" s="151">
        <f t="shared" ca="1" si="283"/>
        <v>0</v>
      </c>
      <c r="X106" s="188">
        <f t="shared" ca="1" si="284"/>
        <v>22183.333333333332</v>
      </c>
      <c r="Y106" s="70"/>
      <c r="Z106" s="126">
        <f t="shared" ca="1" si="256"/>
        <v>22183.333333333332</v>
      </c>
      <c r="AA106" s="126"/>
      <c r="AB106" s="97">
        <f t="shared" ca="1" si="285"/>
        <v>9600</v>
      </c>
      <c r="AC106" s="97">
        <f t="shared" ca="1" si="257"/>
        <v>88733.333333333328</v>
      </c>
      <c r="AD106" s="151">
        <f t="shared" ca="1" si="286"/>
        <v>9600</v>
      </c>
      <c r="AE106" s="188">
        <f t="shared" ca="1" si="287"/>
        <v>12583.333333333332</v>
      </c>
      <c r="AF106" s="70"/>
      <c r="AG106" s="126">
        <f t="shared" ca="1" si="258"/>
        <v>22183.333333333332</v>
      </c>
      <c r="AH106" s="126"/>
      <c r="AI106" s="97">
        <f t="shared" ca="1" si="288"/>
        <v>0</v>
      </c>
      <c r="AJ106" s="97">
        <f t="shared" ca="1" si="259"/>
        <v>110916.66666666666</v>
      </c>
      <c r="AK106" s="151">
        <f t="shared" ca="1" si="289"/>
        <v>9600</v>
      </c>
      <c r="AL106" s="188">
        <f t="shared" ca="1" si="290"/>
        <v>22183.333333333332</v>
      </c>
      <c r="AM106" s="70"/>
      <c r="AN106" s="126">
        <f t="shared" ca="1" si="260"/>
        <v>22183.333333333332</v>
      </c>
      <c r="AO106" s="126"/>
      <c r="AP106" s="97">
        <f t="shared" ca="1" si="291"/>
        <v>123500</v>
      </c>
      <c r="AQ106" s="97">
        <f t="shared" ca="1" si="261"/>
        <v>133100</v>
      </c>
      <c r="AR106" s="151">
        <f t="shared" ca="1" si="292"/>
        <v>133100</v>
      </c>
      <c r="AS106" s="188">
        <f t="shared" ca="1" si="293"/>
        <v>-101316.66666666667</v>
      </c>
      <c r="AT106" s="70"/>
      <c r="AU106" s="126">
        <f t="shared" ca="1" si="262"/>
        <v>22183.333333333332</v>
      </c>
      <c r="AV106" s="126"/>
      <c r="AW106" s="97">
        <f t="shared" ca="1" si="294"/>
        <v>299200</v>
      </c>
      <c r="AX106" s="126">
        <f t="shared" ca="1" si="263"/>
        <v>155283.33333333334</v>
      </c>
      <c r="AY106" s="151">
        <f t="shared" ca="1" si="295"/>
        <v>432300</v>
      </c>
      <c r="AZ106" s="188">
        <f t="shared" ca="1" si="296"/>
        <v>-277016.66666666669</v>
      </c>
      <c r="BA106" s="144"/>
      <c r="BB106" s="126">
        <f t="shared" ca="1" si="264"/>
        <v>22183.333333333332</v>
      </c>
      <c r="BC106" s="126"/>
      <c r="BD106" s="97">
        <f t="shared" ca="1" si="297"/>
        <v>100500</v>
      </c>
      <c r="BE106" s="97">
        <f t="shared" ca="1" si="265"/>
        <v>177466.66666666669</v>
      </c>
      <c r="BF106" s="151">
        <f t="shared" ca="1" si="298"/>
        <v>532800</v>
      </c>
      <c r="BG106" s="188">
        <f t="shared" ca="1" si="299"/>
        <v>-78316.666666666672</v>
      </c>
      <c r="BH106" s="144"/>
      <c r="BI106" s="126">
        <f t="shared" ca="1" si="266"/>
        <v>22183.333333333332</v>
      </c>
      <c r="BJ106" s="126"/>
      <c r="BK106" s="97">
        <f t="shared" ca="1" si="480"/>
        <v>0</v>
      </c>
      <c r="BL106" s="97">
        <f t="shared" ca="1" si="268"/>
        <v>199650.00000000003</v>
      </c>
      <c r="BM106" s="151">
        <f t="shared" ca="1" si="300"/>
        <v>0</v>
      </c>
      <c r="BN106" s="188">
        <f t="shared" ca="1" si="301"/>
        <v>22183.333333333332</v>
      </c>
      <c r="BO106" s="144"/>
      <c r="BP106" s="126">
        <f t="shared" ca="1" si="269"/>
        <v>22183.333333333332</v>
      </c>
      <c r="BQ106" s="126"/>
      <c r="BR106" s="97">
        <f t="shared" ca="1" si="302"/>
        <v>0</v>
      </c>
      <c r="BS106" s="97">
        <f t="shared" ca="1" si="270"/>
        <v>221833.33333333337</v>
      </c>
      <c r="BT106" s="151">
        <f t="shared" ca="1" si="303"/>
        <v>0</v>
      </c>
      <c r="BU106" s="188">
        <f t="shared" ca="1" si="304"/>
        <v>22183.333333333332</v>
      </c>
      <c r="BV106" s="144"/>
      <c r="BW106" s="126">
        <f t="shared" ca="1" si="271"/>
        <v>22183.333333333332</v>
      </c>
      <c r="BX106" s="126"/>
      <c r="BY106" s="97">
        <f t="shared" ca="1" si="305"/>
        <v>0</v>
      </c>
      <c r="BZ106" s="97">
        <f t="shared" ca="1" si="272"/>
        <v>244016.66666666672</v>
      </c>
      <c r="CA106" s="151">
        <f t="shared" ca="1" si="306"/>
        <v>0</v>
      </c>
      <c r="CB106" s="188">
        <f t="shared" ca="1" si="307"/>
        <v>22183.333333333332</v>
      </c>
      <c r="CC106" s="144"/>
      <c r="CD106" s="126">
        <f t="shared" ca="1" si="308"/>
        <v>22183.333333333332</v>
      </c>
      <c r="CE106" s="126"/>
      <c r="CF106" s="97">
        <f t="shared" ca="1" si="309"/>
        <v>0</v>
      </c>
      <c r="CG106" s="97">
        <f t="shared" ca="1" si="274"/>
        <v>266200.00000000006</v>
      </c>
      <c r="CH106" s="151">
        <f t="shared" ca="1" si="310"/>
        <v>0</v>
      </c>
      <c r="CI106" s="188">
        <f t="shared" ca="1" si="311"/>
        <v>22183.333333333332</v>
      </c>
      <c r="CJ106" s="5"/>
      <c r="CK106" s="5"/>
      <c r="CL106" s="5"/>
    </row>
    <row r="107" spans="1:90" s="6" customFormat="1">
      <c r="A107" s="133" t="s">
        <v>160</v>
      </c>
      <c r="B107" s="63">
        <v>51601501</v>
      </c>
      <c r="C107" s="134">
        <f t="shared" ca="1" si="275"/>
        <v>2539659.36</v>
      </c>
      <c r="D107" s="78"/>
      <c r="E107" s="126">
        <v>81787.47</v>
      </c>
      <c r="F107" s="126"/>
      <c r="G107" s="104">
        <f t="shared" ca="1" si="251"/>
        <v>211638.28</v>
      </c>
      <c r="H107" s="98">
        <f t="shared" si="276"/>
        <v>81787.47</v>
      </c>
      <c r="I107" s="57">
        <f t="shared" ca="1" si="252"/>
        <v>211638.28</v>
      </c>
      <c r="J107" s="188">
        <f t="shared" ca="1" si="277"/>
        <v>129850.81</v>
      </c>
      <c r="K107" s="70"/>
      <c r="L107" s="126">
        <f t="shared" si="312"/>
        <v>81787.47</v>
      </c>
      <c r="M107" s="126"/>
      <c r="N107" s="97">
        <f t="shared" ca="1" si="278"/>
        <v>211638.27999999802</v>
      </c>
      <c r="O107" s="98">
        <f t="shared" si="279"/>
        <v>163574.94</v>
      </c>
      <c r="P107" s="151">
        <f t="shared" ca="1" si="280"/>
        <v>423276.55999999802</v>
      </c>
      <c r="Q107" s="188">
        <f t="shared" ca="1" si="281"/>
        <v>-129850.80999999802</v>
      </c>
      <c r="R107" s="70"/>
      <c r="S107" s="126">
        <f t="shared" si="254"/>
        <v>81787.47</v>
      </c>
      <c r="T107" s="126"/>
      <c r="U107" s="97">
        <f t="shared" ca="1" si="282"/>
        <v>211638.27999999997</v>
      </c>
      <c r="V107" s="97">
        <f t="shared" si="255"/>
        <v>245362.41</v>
      </c>
      <c r="W107" s="151">
        <f t="shared" ca="1" si="283"/>
        <v>634914.83999999799</v>
      </c>
      <c r="X107" s="188">
        <f t="shared" ca="1" si="284"/>
        <v>-129850.80999999997</v>
      </c>
      <c r="Y107" s="70"/>
      <c r="Z107" s="126">
        <f t="shared" si="256"/>
        <v>81787.47</v>
      </c>
      <c r="AA107" s="126"/>
      <c r="AB107" s="97">
        <f t="shared" ca="1" si="285"/>
        <v>211638.28000000003</v>
      </c>
      <c r="AC107" s="97">
        <f t="shared" si="257"/>
        <v>327149.88</v>
      </c>
      <c r="AD107" s="151">
        <f t="shared" ca="1" si="286"/>
        <v>846553.11999999802</v>
      </c>
      <c r="AE107" s="188">
        <f t="shared" ca="1" si="287"/>
        <v>-129850.81000000003</v>
      </c>
      <c r="AF107" s="70"/>
      <c r="AG107" s="126">
        <f t="shared" si="258"/>
        <v>81787.47</v>
      </c>
      <c r="AH107" s="126"/>
      <c r="AI107" s="97">
        <f t="shared" ca="1" si="288"/>
        <v>211638.28000000189</v>
      </c>
      <c r="AJ107" s="97">
        <f t="shared" si="259"/>
        <v>408937.35</v>
      </c>
      <c r="AK107" s="151">
        <f t="shared" ca="1" si="289"/>
        <v>1058191.3999999999</v>
      </c>
      <c r="AL107" s="188">
        <f t="shared" ca="1" si="290"/>
        <v>-129850.81000000189</v>
      </c>
      <c r="AM107" s="70"/>
      <c r="AN107" s="126">
        <f t="shared" si="260"/>
        <v>81787.47</v>
      </c>
      <c r="AO107" s="126"/>
      <c r="AP107" s="97">
        <f t="shared" ca="1" si="291"/>
        <v>211638.28000000003</v>
      </c>
      <c r="AQ107" s="97">
        <f t="shared" si="261"/>
        <v>490724.81999999995</v>
      </c>
      <c r="AR107" s="151">
        <f t="shared" ca="1" si="292"/>
        <v>1269829.68</v>
      </c>
      <c r="AS107" s="188">
        <f t="shared" ca="1" si="293"/>
        <v>-129850.81000000003</v>
      </c>
      <c r="AT107" s="70"/>
      <c r="AU107" s="126">
        <f t="shared" si="262"/>
        <v>81787.47</v>
      </c>
      <c r="AV107" s="126"/>
      <c r="AW107" s="97">
        <f t="shared" ca="1" si="294"/>
        <v>211638.28000000003</v>
      </c>
      <c r="AX107" s="126">
        <f t="shared" si="263"/>
        <v>572512.28999999992</v>
      </c>
      <c r="AY107" s="151">
        <f t="shared" ca="1" si="295"/>
        <v>1481467.96</v>
      </c>
      <c r="AZ107" s="188">
        <f t="shared" ca="1" si="296"/>
        <v>-129850.81000000003</v>
      </c>
      <c r="BA107" s="144"/>
      <c r="BB107" s="126">
        <f t="shared" si="264"/>
        <v>81787.47</v>
      </c>
      <c r="BC107" s="126"/>
      <c r="BD107" s="97">
        <f t="shared" ca="1" si="297"/>
        <v>-21739.780000000028</v>
      </c>
      <c r="BE107" s="97">
        <f t="shared" si="265"/>
        <v>654299.75999999989</v>
      </c>
      <c r="BF107" s="151">
        <f t="shared" ca="1" si="298"/>
        <v>1459728.18</v>
      </c>
      <c r="BG107" s="188">
        <f t="shared" ca="1" si="299"/>
        <v>103527.25000000003</v>
      </c>
      <c r="BH107" s="144"/>
      <c r="BI107" s="126">
        <f t="shared" si="266"/>
        <v>81787.47</v>
      </c>
      <c r="BJ107" s="126"/>
      <c r="BK107" s="97">
        <f t="shared" ref="BK107:BK130" ca="1" si="651">IFERROR(IF(BM107=0,0,BM107-BF107),0)</f>
        <v>0</v>
      </c>
      <c r="BL107" s="97">
        <f t="shared" si="268"/>
        <v>736087.22999999986</v>
      </c>
      <c r="BM107" s="151">
        <f t="shared" ca="1" si="300"/>
        <v>0</v>
      </c>
      <c r="BN107" s="188">
        <f t="shared" ca="1" si="301"/>
        <v>81787.47</v>
      </c>
      <c r="BO107" s="144"/>
      <c r="BP107" s="126">
        <f t="shared" si="269"/>
        <v>81787.47</v>
      </c>
      <c r="BQ107" s="126"/>
      <c r="BR107" s="97">
        <f t="shared" ca="1" si="302"/>
        <v>0</v>
      </c>
      <c r="BS107" s="97">
        <f t="shared" si="270"/>
        <v>817874.69999999984</v>
      </c>
      <c r="BT107" s="151">
        <f t="shared" ca="1" si="303"/>
        <v>0</v>
      </c>
      <c r="BU107" s="188">
        <f t="shared" ca="1" si="304"/>
        <v>81787.47</v>
      </c>
      <c r="BV107" s="144"/>
      <c r="BW107" s="126">
        <f t="shared" si="271"/>
        <v>81787.47</v>
      </c>
      <c r="BX107" s="126"/>
      <c r="BY107" s="97">
        <f t="shared" ca="1" si="305"/>
        <v>0</v>
      </c>
      <c r="BZ107" s="97">
        <f t="shared" si="272"/>
        <v>899662.16999999981</v>
      </c>
      <c r="CA107" s="151">
        <f t="shared" ca="1" si="306"/>
        <v>0</v>
      </c>
      <c r="CB107" s="188">
        <f t="shared" ca="1" si="307"/>
        <v>81787.47</v>
      </c>
      <c r="CC107" s="144"/>
      <c r="CD107" s="126">
        <f t="shared" si="308"/>
        <v>81787.47</v>
      </c>
      <c r="CE107" s="126"/>
      <c r="CF107" s="97">
        <f t="shared" ca="1" si="309"/>
        <v>0</v>
      </c>
      <c r="CG107" s="97">
        <f t="shared" si="274"/>
        <v>981449.63999999978</v>
      </c>
      <c r="CH107" s="151">
        <f t="shared" ca="1" si="310"/>
        <v>0</v>
      </c>
      <c r="CI107" s="188">
        <f t="shared" ca="1" si="311"/>
        <v>81787.47</v>
      </c>
      <c r="CJ107" s="5"/>
      <c r="CK107" s="5"/>
      <c r="CL107" s="5"/>
    </row>
    <row r="108" spans="1:90" s="6" customFormat="1">
      <c r="A108" s="133" t="s">
        <v>161</v>
      </c>
      <c r="B108" s="63">
        <v>51602005</v>
      </c>
      <c r="C108" s="134">
        <f t="shared" ref="C108:C133" ca="1" si="652">IFERROR(IFERROR(VLOOKUP(TEXT($B108,0),INDIRECT("'Balance a "&amp;LEFT(AN$1,3)&amp;"'!$B$3:$G$300"),6,0),VLOOKUP(VALUE($B108),INDIRECT("'Balance a "&amp;LEFT(AN$1,3)&amp;"'!$B$3:$G$300"),6,0)),0)*2</f>
        <v>546666.68000000005</v>
      </c>
      <c r="D108" s="78"/>
      <c r="E108" s="126">
        <v>24031.664999999997</v>
      </c>
      <c r="F108" s="126"/>
      <c r="G108" s="104">
        <f t="shared" ca="1" si="251"/>
        <v>0</v>
      </c>
      <c r="H108" s="98">
        <f t="shared" si="276"/>
        <v>24031.664999999997</v>
      </c>
      <c r="I108" s="57">
        <f t="shared" ca="1" si="252"/>
        <v>0</v>
      </c>
      <c r="J108" s="188">
        <f t="shared" ca="1" si="277"/>
        <v>-24031.664999999997</v>
      </c>
      <c r="K108" s="70"/>
      <c r="L108" s="126">
        <f t="shared" si="312"/>
        <v>24031.664999999997</v>
      </c>
      <c r="M108" s="126"/>
      <c r="N108" s="97">
        <f t="shared" ca="1" si="278"/>
        <v>0</v>
      </c>
      <c r="O108" s="98">
        <f t="shared" si="279"/>
        <v>48063.329999999994</v>
      </c>
      <c r="P108" s="151">
        <f t="shared" ca="1" si="280"/>
        <v>0</v>
      </c>
      <c r="Q108" s="188">
        <f t="shared" ca="1" si="281"/>
        <v>24031.664999999997</v>
      </c>
      <c r="R108" s="70"/>
      <c r="S108" s="126">
        <f t="shared" si="254"/>
        <v>24031.664999999997</v>
      </c>
      <c r="T108" s="126"/>
      <c r="U108" s="97">
        <f t="shared" ca="1" si="282"/>
        <v>0</v>
      </c>
      <c r="V108" s="97">
        <f t="shared" si="255"/>
        <v>72094.994999999995</v>
      </c>
      <c r="W108" s="151">
        <f t="shared" ca="1" si="283"/>
        <v>0</v>
      </c>
      <c r="X108" s="188">
        <f t="shared" ca="1" si="284"/>
        <v>24031.664999999997</v>
      </c>
      <c r="Y108" s="70"/>
      <c r="Z108" s="126">
        <f t="shared" si="256"/>
        <v>24031.664999999997</v>
      </c>
      <c r="AA108" s="126"/>
      <c r="AB108" s="97">
        <f t="shared" ca="1" si="285"/>
        <v>0</v>
      </c>
      <c r="AC108" s="97">
        <f t="shared" si="257"/>
        <v>96126.659999999989</v>
      </c>
      <c r="AD108" s="151">
        <f t="shared" ca="1" si="286"/>
        <v>0</v>
      </c>
      <c r="AE108" s="188">
        <f t="shared" ca="1" si="287"/>
        <v>24031.664999999997</v>
      </c>
      <c r="AF108" s="70"/>
      <c r="AG108" s="126">
        <f t="shared" si="258"/>
        <v>24031.664999999997</v>
      </c>
      <c r="AH108" s="126"/>
      <c r="AI108" s="97">
        <f t="shared" ca="1" si="288"/>
        <v>136666.67000000001</v>
      </c>
      <c r="AJ108" s="97">
        <f t="shared" si="259"/>
        <v>120158.32499999998</v>
      </c>
      <c r="AK108" s="151">
        <f t="shared" ca="1" si="289"/>
        <v>136666.67000000001</v>
      </c>
      <c r="AL108" s="188">
        <f t="shared" ca="1" si="290"/>
        <v>-112635.00500000002</v>
      </c>
      <c r="AM108" s="70"/>
      <c r="AN108" s="126">
        <f t="shared" si="260"/>
        <v>24031.664999999997</v>
      </c>
      <c r="AO108" s="126"/>
      <c r="AP108" s="97">
        <f t="shared" ca="1" si="291"/>
        <v>136666.67000000001</v>
      </c>
      <c r="AQ108" s="97">
        <f t="shared" si="261"/>
        <v>144189.99</v>
      </c>
      <c r="AR108" s="151">
        <f t="shared" ca="1" si="292"/>
        <v>273333.34000000003</v>
      </c>
      <c r="AS108" s="188">
        <f t="shared" ca="1" si="293"/>
        <v>-112635.00500000002</v>
      </c>
      <c r="AT108" s="70"/>
      <c r="AU108" s="126">
        <f t="shared" si="262"/>
        <v>24031.664999999997</v>
      </c>
      <c r="AV108" s="126"/>
      <c r="AW108" s="97">
        <f t="shared" ca="1" si="294"/>
        <v>136666.66999999998</v>
      </c>
      <c r="AX108" s="126">
        <f t="shared" si="263"/>
        <v>168221.655</v>
      </c>
      <c r="AY108" s="151">
        <f t="shared" ca="1" si="295"/>
        <v>410000.01</v>
      </c>
      <c r="AZ108" s="188">
        <f t="shared" ca="1" si="296"/>
        <v>-112635.00499999999</v>
      </c>
      <c r="BA108" s="144"/>
      <c r="BB108" s="126">
        <f t="shared" si="264"/>
        <v>24031.664999999997</v>
      </c>
      <c r="BC108" s="126"/>
      <c r="BD108" s="97">
        <f t="shared" ca="1" si="297"/>
        <v>136666.66000000003</v>
      </c>
      <c r="BE108" s="97">
        <f t="shared" si="265"/>
        <v>192253.32</v>
      </c>
      <c r="BF108" s="151">
        <f t="shared" ca="1" si="298"/>
        <v>546666.67000000004</v>
      </c>
      <c r="BG108" s="188">
        <f t="shared" ca="1" si="299"/>
        <v>-112634.99500000004</v>
      </c>
      <c r="BH108" s="144"/>
      <c r="BI108" s="126">
        <f t="shared" si="266"/>
        <v>24031.664999999997</v>
      </c>
      <c r="BJ108" s="126"/>
      <c r="BK108" s="97">
        <f t="shared" ca="1" si="651"/>
        <v>0</v>
      </c>
      <c r="BL108" s="97">
        <f t="shared" si="268"/>
        <v>216284.98500000002</v>
      </c>
      <c r="BM108" s="151">
        <f t="shared" ca="1" si="300"/>
        <v>0</v>
      </c>
      <c r="BN108" s="188">
        <f t="shared" ca="1" si="301"/>
        <v>24031.664999999997</v>
      </c>
      <c r="BO108" s="144"/>
      <c r="BP108" s="126">
        <f t="shared" si="269"/>
        <v>24031.664999999997</v>
      </c>
      <c r="BQ108" s="126"/>
      <c r="BR108" s="97">
        <f t="shared" ca="1" si="302"/>
        <v>0</v>
      </c>
      <c r="BS108" s="97">
        <f t="shared" si="270"/>
        <v>240316.65000000002</v>
      </c>
      <c r="BT108" s="151">
        <f t="shared" ca="1" si="303"/>
        <v>0</v>
      </c>
      <c r="BU108" s="188">
        <f t="shared" ca="1" si="304"/>
        <v>24031.664999999997</v>
      </c>
      <c r="BV108" s="144"/>
      <c r="BW108" s="126">
        <f t="shared" si="271"/>
        <v>24031.664999999997</v>
      </c>
      <c r="BX108" s="126"/>
      <c r="BY108" s="97">
        <f t="shared" ca="1" si="305"/>
        <v>0</v>
      </c>
      <c r="BZ108" s="97">
        <f t="shared" si="272"/>
        <v>264348.315</v>
      </c>
      <c r="CA108" s="151">
        <f t="shared" ca="1" si="306"/>
        <v>0</v>
      </c>
      <c r="CB108" s="188">
        <f t="shared" ca="1" si="307"/>
        <v>24031.664999999997</v>
      </c>
      <c r="CC108" s="144"/>
      <c r="CD108" s="126">
        <f t="shared" si="308"/>
        <v>24031.664999999997</v>
      </c>
      <c r="CE108" s="126"/>
      <c r="CF108" s="97">
        <f t="shared" ca="1" si="309"/>
        <v>0</v>
      </c>
      <c r="CG108" s="97">
        <f t="shared" si="274"/>
        <v>288379.98</v>
      </c>
      <c r="CH108" s="151">
        <f t="shared" ca="1" si="310"/>
        <v>0</v>
      </c>
      <c r="CI108" s="188">
        <f t="shared" ca="1" si="311"/>
        <v>24031.664999999997</v>
      </c>
      <c r="CJ108" s="5"/>
      <c r="CK108" s="5"/>
      <c r="CL108" s="5"/>
    </row>
    <row r="109" spans="1:90" s="6" customFormat="1">
      <c r="A109" s="133" t="s">
        <v>162</v>
      </c>
      <c r="B109" s="63">
        <v>51603501</v>
      </c>
      <c r="C109" s="134">
        <f t="shared" ca="1" si="652"/>
        <v>6149000.04</v>
      </c>
      <c r="D109" s="78"/>
      <c r="E109" s="126">
        <v>105416.66499999999</v>
      </c>
      <c r="F109" s="126"/>
      <c r="G109" s="104">
        <f t="shared" ca="1" si="251"/>
        <v>512416.67</v>
      </c>
      <c r="H109" s="98">
        <f t="shared" si="276"/>
        <v>105416.66499999999</v>
      </c>
      <c r="I109" s="57">
        <f t="shared" ca="1" si="252"/>
        <v>512416.67</v>
      </c>
      <c r="J109" s="188">
        <f t="shared" ca="1" si="277"/>
        <v>407000.005</v>
      </c>
      <c r="K109" s="70"/>
      <c r="L109" s="126">
        <f t="shared" si="312"/>
        <v>105416.66499999999</v>
      </c>
      <c r="M109" s="126"/>
      <c r="N109" s="97">
        <f t="shared" ca="1" si="278"/>
        <v>512416.67</v>
      </c>
      <c r="O109" s="98">
        <f t="shared" si="279"/>
        <v>210833.33</v>
      </c>
      <c r="P109" s="151">
        <f t="shared" ca="1" si="280"/>
        <v>1024833.34</v>
      </c>
      <c r="Q109" s="188">
        <f t="shared" ca="1" si="281"/>
        <v>-407000.005</v>
      </c>
      <c r="R109" s="70"/>
      <c r="S109" s="126">
        <f t="shared" si="254"/>
        <v>105416.66499999999</v>
      </c>
      <c r="T109" s="126"/>
      <c r="U109" s="97">
        <f t="shared" ca="1" si="282"/>
        <v>512416.67000000004</v>
      </c>
      <c r="V109" s="97">
        <f t="shared" si="255"/>
        <v>316249.995</v>
      </c>
      <c r="W109" s="151">
        <f t="shared" ca="1" si="283"/>
        <v>1537250.01</v>
      </c>
      <c r="X109" s="188">
        <f t="shared" ca="1" si="284"/>
        <v>-407000.00500000006</v>
      </c>
      <c r="Y109" s="70"/>
      <c r="Z109" s="126">
        <f t="shared" si="256"/>
        <v>105416.66499999999</v>
      </c>
      <c r="AA109" s="126"/>
      <c r="AB109" s="97">
        <f t="shared" ca="1" si="285"/>
        <v>512416.66999999993</v>
      </c>
      <c r="AC109" s="97">
        <f t="shared" si="257"/>
        <v>421666.66</v>
      </c>
      <c r="AD109" s="151">
        <f t="shared" ca="1" si="286"/>
        <v>2049666.68</v>
      </c>
      <c r="AE109" s="188">
        <f t="shared" ca="1" si="287"/>
        <v>-407000.00499999995</v>
      </c>
      <c r="AF109" s="70"/>
      <c r="AG109" s="126">
        <f t="shared" si="258"/>
        <v>105416.66499999999</v>
      </c>
      <c r="AH109" s="126"/>
      <c r="AI109" s="97">
        <f t="shared" ca="1" si="288"/>
        <v>512416.67000000016</v>
      </c>
      <c r="AJ109" s="97">
        <f t="shared" si="259"/>
        <v>527083.32499999995</v>
      </c>
      <c r="AK109" s="151">
        <f t="shared" ca="1" si="289"/>
        <v>2562083.35</v>
      </c>
      <c r="AL109" s="188">
        <f t="shared" ca="1" si="290"/>
        <v>-407000.00500000018</v>
      </c>
      <c r="AM109" s="70"/>
      <c r="AN109" s="126">
        <f t="shared" si="260"/>
        <v>105416.66499999999</v>
      </c>
      <c r="AO109" s="126"/>
      <c r="AP109" s="97">
        <f t="shared" ca="1" si="291"/>
        <v>512416.66999999993</v>
      </c>
      <c r="AQ109" s="97">
        <f t="shared" si="261"/>
        <v>632499.99</v>
      </c>
      <c r="AR109" s="151">
        <f t="shared" ca="1" si="292"/>
        <v>3074500.02</v>
      </c>
      <c r="AS109" s="188">
        <f t="shared" ca="1" si="293"/>
        <v>-407000.00499999995</v>
      </c>
      <c r="AT109" s="70"/>
      <c r="AU109" s="126">
        <f t="shared" si="262"/>
        <v>105416.66499999999</v>
      </c>
      <c r="AV109" s="126"/>
      <c r="AW109" s="97">
        <f t="shared" ca="1" si="294"/>
        <v>512416.66999999993</v>
      </c>
      <c r="AX109" s="126">
        <f t="shared" si="263"/>
        <v>737916.65500000003</v>
      </c>
      <c r="AY109" s="151">
        <f t="shared" ca="1" si="295"/>
        <v>3586916.69</v>
      </c>
      <c r="AZ109" s="188">
        <f t="shared" ca="1" si="296"/>
        <v>-407000.00499999995</v>
      </c>
      <c r="BA109" s="144"/>
      <c r="BB109" s="126">
        <f t="shared" si="264"/>
        <v>105416.66499999999</v>
      </c>
      <c r="BC109" s="126"/>
      <c r="BD109" s="97">
        <f t="shared" ca="1" si="297"/>
        <v>894916.64000000013</v>
      </c>
      <c r="BE109" s="97">
        <f t="shared" si="265"/>
        <v>843333.32000000007</v>
      </c>
      <c r="BF109" s="151">
        <f t="shared" ca="1" si="298"/>
        <v>4481833.33</v>
      </c>
      <c r="BG109" s="188">
        <f t="shared" ca="1" si="299"/>
        <v>-789499.97500000009</v>
      </c>
      <c r="BH109" s="144"/>
      <c r="BI109" s="126">
        <f t="shared" si="266"/>
        <v>105416.66499999999</v>
      </c>
      <c r="BJ109" s="126"/>
      <c r="BK109" s="97">
        <f t="shared" ca="1" si="651"/>
        <v>0</v>
      </c>
      <c r="BL109" s="97">
        <f t="shared" si="268"/>
        <v>948749.9850000001</v>
      </c>
      <c r="BM109" s="151">
        <f t="shared" ca="1" si="300"/>
        <v>0</v>
      </c>
      <c r="BN109" s="188">
        <f t="shared" ca="1" si="301"/>
        <v>105416.66499999999</v>
      </c>
      <c r="BO109" s="144"/>
      <c r="BP109" s="126">
        <f t="shared" si="269"/>
        <v>105416.66499999999</v>
      </c>
      <c r="BQ109" s="126"/>
      <c r="BR109" s="97">
        <f t="shared" ca="1" si="302"/>
        <v>0</v>
      </c>
      <c r="BS109" s="97">
        <f t="shared" si="270"/>
        <v>1054166.6500000001</v>
      </c>
      <c r="BT109" s="151">
        <f t="shared" ca="1" si="303"/>
        <v>0</v>
      </c>
      <c r="BU109" s="188">
        <f t="shared" ca="1" si="304"/>
        <v>105416.66499999999</v>
      </c>
      <c r="BV109" s="144"/>
      <c r="BW109" s="126">
        <f t="shared" si="271"/>
        <v>105416.66499999999</v>
      </c>
      <c r="BX109" s="126"/>
      <c r="BY109" s="97">
        <f t="shared" ca="1" si="305"/>
        <v>0</v>
      </c>
      <c r="BZ109" s="97">
        <f t="shared" si="272"/>
        <v>1159583.3150000002</v>
      </c>
      <c r="CA109" s="151">
        <f t="shared" ca="1" si="306"/>
        <v>0</v>
      </c>
      <c r="CB109" s="188">
        <f t="shared" ca="1" si="307"/>
        <v>105416.66499999999</v>
      </c>
      <c r="CC109" s="144"/>
      <c r="CD109" s="126">
        <f t="shared" si="308"/>
        <v>105416.66499999999</v>
      </c>
      <c r="CE109" s="126"/>
      <c r="CF109" s="97">
        <f t="shared" ca="1" si="309"/>
        <v>0</v>
      </c>
      <c r="CG109" s="97">
        <f t="shared" si="274"/>
        <v>1264999.9800000002</v>
      </c>
      <c r="CH109" s="151">
        <f t="shared" ca="1" si="310"/>
        <v>0</v>
      </c>
      <c r="CI109" s="188">
        <f t="shared" ca="1" si="311"/>
        <v>105416.66499999999</v>
      </c>
      <c r="CJ109" s="5"/>
      <c r="CK109" s="5"/>
      <c r="CL109" s="5"/>
    </row>
    <row r="110" spans="1:90" s="6" customFormat="1">
      <c r="A110" s="133" t="s">
        <v>163</v>
      </c>
      <c r="B110" s="63">
        <v>51951001</v>
      </c>
      <c r="C110" s="134">
        <f t="shared" ca="1" si="652"/>
        <v>1449800</v>
      </c>
      <c r="D110" s="78"/>
      <c r="E110" s="126">
        <f ca="1">$C110/COUNTA(E$1:$CI$1)</f>
        <v>120816.66666666667</v>
      </c>
      <c r="F110" s="126"/>
      <c r="G110" s="104">
        <f t="shared" ca="1" si="251"/>
        <v>0</v>
      </c>
      <c r="H110" s="98">
        <f t="shared" ca="1" si="276"/>
        <v>120816.66666666667</v>
      </c>
      <c r="I110" s="57">
        <f t="shared" ca="1" si="252"/>
        <v>0</v>
      </c>
      <c r="J110" s="188">
        <f t="shared" ca="1" si="277"/>
        <v>-120816.66666666667</v>
      </c>
      <c r="K110" s="70"/>
      <c r="L110" s="126">
        <f t="shared" ca="1" si="312"/>
        <v>120816.66666666667</v>
      </c>
      <c r="M110" s="126"/>
      <c r="N110" s="97">
        <f t="shared" ca="1" si="278"/>
        <v>599900</v>
      </c>
      <c r="O110" s="98">
        <f t="shared" ca="1" si="279"/>
        <v>241633.33333333334</v>
      </c>
      <c r="P110" s="151">
        <f t="shared" ca="1" si="280"/>
        <v>599900</v>
      </c>
      <c r="Q110" s="188">
        <f t="shared" ca="1" si="281"/>
        <v>-479083.33333333331</v>
      </c>
      <c r="R110" s="70"/>
      <c r="S110" s="126">
        <f t="shared" ca="1" si="254"/>
        <v>120816.66666666667</v>
      </c>
      <c r="T110" s="126"/>
      <c r="U110" s="97">
        <f t="shared" ca="1" si="282"/>
        <v>0</v>
      </c>
      <c r="V110" s="97">
        <f t="shared" ca="1" si="255"/>
        <v>362450</v>
      </c>
      <c r="W110" s="151">
        <f t="shared" ca="1" si="283"/>
        <v>599900</v>
      </c>
      <c r="X110" s="188">
        <f t="shared" ca="1" si="284"/>
        <v>120816.66666666667</v>
      </c>
      <c r="Y110" s="70"/>
      <c r="Z110" s="126">
        <f t="shared" ca="1" si="256"/>
        <v>120816.66666666667</v>
      </c>
      <c r="AA110" s="126"/>
      <c r="AB110" s="97">
        <f t="shared" ca="1" si="285"/>
        <v>125000</v>
      </c>
      <c r="AC110" s="97">
        <f t="shared" ca="1" si="257"/>
        <v>483266.66666666669</v>
      </c>
      <c r="AD110" s="151">
        <f t="shared" ca="1" si="286"/>
        <v>724900</v>
      </c>
      <c r="AE110" s="188">
        <f t="shared" ca="1" si="287"/>
        <v>-4183.3333333333285</v>
      </c>
      <c r="AF110" s="70"/>
      <c r="AG110" s="126">
        <f t="shared" ca="1" si="258"/>
        <v>120816.66666666667</v>
      </c>
      <c r="AH110" s="126"/>
      <c r="AI110" s="97">
        <f t="shared" ca="1" si="288"/>
        <v>0</v>
      </c>
      <c r="AJ110" s="97">
        <f t="shared" ca="1" si="259"/>
        <v>604083.33333333337</v>
      </c>
      <c r="AK110" s="151">
        <f t="shared" ca="1" si="289"/>
        <v>724900</v>
      </c>
      <c r="AL110" s="188">
        <f t="shared" ca="1" si="290"/>
        <v>120816.66666666667</v>
      </c>
      <c r="AM110" s="70"/>
      <c r="AN110" s="126">
        <f t="shared" ca="1" si="260"/>
        <v>120816.66666666667</v>
      </c>
      <c r="AO110" s="126"/>
      <c r="AP110" s="97">
        <f t="shared" ca="1" si="291"/>
        <v>0</v>
      </c>
      <c r="AQ110" s="97">
        <f t="shared" ca="1" si="261"/>
        <v>724900</v>
      </c>
      <c r="AR110" s="151">
        <f t="shared" ca="1" si="292"/>
        <v>724900</v>
      </c>
      <c r="AS110" s="188">
        <f t="shared" ca="1" si="293"/>
        <v>120816.66666666667</v>
      </c>
      <c r="AT110" s="70"/>
      <c r="AU110" s="126">
        <f t="shared" ca="1" si="262"/>
        <v>120816.66666666667</v>
      </c>
      <c r="AV110" s="126"/>
      <c r="AW110" s="97">
        <f t="shared" ca="1" si="294"/>
        <v>0</v>
      </c>
      <c r="AX110" s="126">
        <f t="shared" ca="1" si="263"/>
        <v>845716.66666666663</v>
      </c>
      <c r="AY110" s="151">
        <f t="shared" ca="1" si="295"/>
        <v>724900</v>
      </c>
      <c r="AZ110" s="188">
        <f t="shared" ca="1" si="296"/>
        <v>120816.66666666667</v>
      </c>
      <c r="BA110" s="144"/>
      <c r="BB110" s="126">
        <f t="shared" ca="1" si="264"/>
        <v>120816.66666666667</v>
      </c>
      <c r="BC110" s="126"/>
      <c r="BD110" s="97">
        <f t="shared" ca="1" si="297"/>
        <v>0</v>
      </c>
      <c r="BE110" s="97">
        <f t="shared" ca="1" si="265"/>
        <v>966533.33333333326</v>
      </c>
      <c r="BF110" s="151">
        <f t="shared" ca="1" si="298"/>
        <v>724900</v>
      </c>
      <c r="BG110" s="188">
        <f t="shared" ca="1" si="299"/>
        <v>120816.66666666667</v>
      </c>
      <c r="BH110" s="144"/>
      <c r="BI110" s="126">
        <f t="shared" ca="1" si="266"/>
        <v>120816.66666666667</v>
      </c>
      <c r="BJ110" s="126"/>
      <c r="BK110" s="97">
        <f t="shared" ca="1" si="651"/>
        <v>0</v>
      </c>
      <c r="BL110" s="97">
        <f t="shared" ca="1" si="268"/>
        <v>1087350</v>
      </c>
      <c r="BM110" s="151">
        <f t="shared" ca="1" si="300"/>
        <v>0</v>
      </c>
      <c r="BN110" s="188">
        <f t="shared" ca="1" si="301"/>
        <v>120816.66666666667</v>
      </c>
      <c r="BO110" s="144"/>
      <c r="BP110" s="126">
        <f t="shared" ca="1" si="269"/>
        <v>120816.66666666667</v>
      </c>
      <c r="BQ110" s="126"/>
      <c r="BR110" s="97">
        <f t="shared" ca="1" si="302"/>
        <v>0</v>
      </c>
      <c r="BS110" s="97">
        <f t="shared" ca="1" si="270"/>
        <v>1208166.6666666667</v>
      </c>
      <c r="BT110" s="151">
        <f t="shared" ca="1" si="303"/>
        <v>0</v>
      </c>
      <c r="BU110" s="188">
        <f t="shared" ca="1" si="304"/>
        <v>120816.66666666667</v>
      </c>
      <c r="BV110" s="144"/>
      <c r="BW110" s="126">
        <f t="shared" ca="1" si="271"/>
        <v>120816.66666666667</v>
      </c>
      <c r="BX110" s="126"/>
      <c r="BY110" s="97">
        <f t="shared" ca="1" si="305"/>
        <v>0</v>
      </c>
      <c r="BZ110" s="97">
        <f t="shared" ca="1" si="272"/>
        <v>1328983.3333333335</v>
      </c>
      <c r="CA110" s="151">
        <f t="shared" ca="1" si="306"/>
        <v>0</v>
      </c>
      <c r="CB110" s="188">
        <f t="shared" ca="1" si="307"/>
        <v>120816.66666666667</v>
      </c>
      <c r="CC110" s="144"/>
      <c r="CD110" s="126">
        <f t="shared" ca="1" si="308"/>
        <v>120816.66666666667</v>
      </c>
      <c r="CE110" s="126"/>
      <c r="CF110" s="97">
        <f t="shared" ca="1" si="309"/>
        <v>0</v>
      </c>
      <c r="CG110" s="97">
        <f t="shared" ca="1" si="274"/>
        <v>1449800.0000000002</v>
      </c>
      <c r="CH110" s="151">
        <f t="shared" ca="1" si="310"/>
        <v>0</v>
      </c>
      <c r="CI110" s="188">
        <f t="shared" ca="1" si="311"/>
        <v>120816.66666666667</v>
      </c>
      <c r="CJ110" s="5"/>
      <c r="CK110" s="5"/>
      <c r="CL110" s="5"/>
    </row>
    <row r="111" spans="1:90" s="6" customFormat="1">
      <c r="A111" s="133" t="s">
        <v>164</v>
      </c>
      <c r="B111" s="63">
        <v>51952001</v>
      </c>
      <c r="C111" s="134">
        <f t="shared" ca="1" si="652"/>
        <v>21600000</v>
      </c>
      <c r="D111" s="78"/>
      <c r="E111" s="126">
        <f ca="1">$C111/COUNTA(E$1:$CI$1)</f>
        <v>1800000</v>
      </c>
      <c r="F111" s="126"/>
      <c r="G111" s="104">
        <f t="shared" ca="1" si="251"/>
        <v>1800000</v>
      </c>
      <c r="H111" s="98">
        <f t="shared" ca="1" si="276"/>
        <v>1800000</v>
      </c>
      <c r="I111" s="57">
        <f t="shared" ca="1" si="252"/>
        <v>1800000</v>
      </c>
      <c r="J111" s="188">
        <f t="shared" ca="1" si="277"/>
        <v>0</v>
      </c>
      <c r="K111" s="70"/>
      <c r="L111" s="126">
        <f t="shared" ca="1" si="312"/>
        <v>1800000</v>
      </c>
      <c r="M111" s="126"/>
      <c r="N111" s="97">
        <f t="shared" ca="1" si="278"/>
        <v>1800000</v>
      </c>
      <c r="O111" s="98">
        <f t="shared" ca="1" si="279"/>
        <v>3600000</v>
      </c>
      <c r="P111" s="151">
        <f t="shared" ca="1" si="280"/>
        <v>3600000</v>
      </c>
      <c r="Q111" s="188">
        <f t="shared" ca="1" si="281"/>
        <v>0</v>
      </c>
      <c r="R111" s="70"/>
      <c r="S111" s="126">
        <f t="shared" ca="1" si="254"/>
        <v>1800000</v>
      </c>
      <c r="T111" s="126"/>
      <c r="U111" s="97">
        <f t="shared" ca="1" si="282"/>
        <v>1800000</v>
      </c>
      <c r="V111" s="97">
        <f t="shared" ca="1" si="255"/>
        <v>5400000</v>
      </c>
      <c r="W111" s="151">
        <f t="shared" ca="1" si="283"/>
        <v>5400000</v>
      </c>
      <c r="X111" s="188">
        <f t="shared" ca="1" si="284"/>
        <v>0</v>
      </c>
      <c r="Y111" s="70"/>
      <c r="Z111" s="126">
        <f t="shared" ca="1" si="256"/>
        <v>1800000</v>
      </c>
      <c r="AA111" s="126"/>
      <c r="AB111" s="97">
        <f t="shared" ca="1" si="285"/>
        <v>1800000</v>
      </c>
      <c r="AC111" s="97">
        <f t="shared" ca="1" si="257"/>
        <v>7200000</v>
      </c>
      <c r="AD111" s="151">
        <f t="shared" ca="1" si="286"/>
        <v>7200000</v>
      </c>
      <c r="AE111" s="188">
        <f t="shared" ca="1" si="287"/>
        <v>0</v>
      </c>
      <c r="AF111" s="70"/>
      <c r="AG111" s="126">
        <f t="shared" ca="1" si="258"/>
        <v>1800000</v>
      </c>
      <c r="AH111" s="126"/>
      <c r="AI111" s="97">
        <f t="shared" ca="1" si="288"/>
        <v>1800000</v>
      </c>
      <c r="AJ111" s="97">
        <f t="shared" ca="1" si="259"/>
        <v>9000000</v>
      </c>
      <c r="AK111" s="151">
        <f t="shared" ca="1" si="289"/>
        <v>9000000</v>
      </c>
      <c r="AL111" s="188">
        <f t="shared" ca="1" si="290"/>
        <v>0</v>
      </c>
      <c r="AM111" s="70"/>
      <c r="AN111" s="126">
        <f t="shared" ca="1" si="260"/>
        <v>1800000</v>
      </c>
      <c r="AO111" s="126"/>
      <c r="AP111" s="97">
        <f t="shared" ca="1" si="291"/>
        <v>1800000</v>
      </c>
      <c r="AQ111" s="97">
        <f t="shared" ca="1" si="261"/>
        <v>10800000</v>
      </c>
      <c r="AR111" s="151">
        <f t="shared" ca="1" si="292"/>
        <v>10800000</v>
      </c>
      <c r="AS111" s="188">
        <f t="shared" ca="1" si="293"/>
        <v>0</v>
      </c>
      <c r="AT111" s="70"/>
      <c r="AU111" s="126">
        <f t="shared" ca="1" si="262"/>
        <v>1800000</v>
      </c>
      <c r="AV111" s="126"/>
      <c r="AW111" s="97">
        <f t="shared" ca="1" si="294"/>
        <v>1800000</v>
      </c>
      <c r="AX111" s="126">
        <f t="shared" ca="1" si="263"/>
        <v>12600000</v>
      </c>
      <c r="AY111" s="151">
        <f t="shared" ca="1" si="295"/>
        <v>12600000</v>
      </c>
      <c r="AZ111" s="188">
        <f t="shared" ca="1" si="296"/>
        <v>0</v>
      </c>
      <c r="BA111" s="144"/>
      <c r="BB111" s="126">
        <f t="shared" ca="1" si="264"/>
        <v>1800000</v>
      </c>
      <c r="BC111" s="126"/>
      <c r="BD111" s="97">
        <f t="shared" ca="1" si="297"/>
        <v>1800000</v>
      </c>
      <c r="BE111" s="97">
        <f t="shared" ca="1" si="265"/>
        <v>14400000</v>
      </c>
      <c r="BF111" s="151">
        <f t="shared" ca="1" si="298"/>
        <v>14400000</v>
      </c>
      <c r="BG111" s="188">
        <f t="shared" ca="1" si="299"/>
        <v>0</v>
      </c>
      <c r="BH111" s="144"/>
      <c r="BI111" s="126">
        <f t="shared" ca="1" si="266"/>
        <v>1800000</v>
      </c>
      <c r="BJ111" s="126"/>
      <c r="BK111" s="97">
        <f t="shared" ca="1" si="651"/>
        <v>0</v>
      </c>
      <c r="BL111" s="97">
        <f t="shared" ca="1" si="268"/>
        <v>16200000</v>
      </c>
      <c r="BM111" s="151">
        <f t="shared" ca="1" si="300"/>
        <v>0</v>
      </c>
      <c r="BN111" s="188">
        <f t="shared" ca="1" si="301"/>
        <v>1800000</v>
      </c>
      <c r="BO111" s="144"/>
      <c r="BP111" s="126">
        <f t="shared" ca="1" si="269"/>
        <v>1800000</v>
      </c>
      <c r="BQ111" s="126"/>
      <c r="BR111" s="97">
        <f t="shared" ca="1" si="302"/>
        <v>0</v>
      </c>
      <c r="BS111" s="97">
        <f t="shared" ca="1" si="270"/>
        <v>18000000</v>
      </c>
      <c r="BT111" s="151">
        <f t="shared" ca="1" si="303"/>
        <v>0</v>
      </c>
      <c r="BU111" s="188">
        <f t="shared" ca="1" si="304"/>
        <v>1800000</v>
      </c>
      <c r="BV111" s="144"/>
      <c r="BW111" s="126">
        <f t="shared" ca="1" si="271"/>
        <v>1800000</v>
      </c>
      <c r="BX111" s="126"/>
      <c r="BY111" s="97">
        <f t="shared" ca="1" si="305"/>
        <v>0</v>
      </c>
      <c r="BZ111" s="97">
        <f t="shared" ca="1" si="272"/>
        <v>19800000</v>
      </c>
      <c r="CA111" s="151">
        <f t="shared" ca="1" si="306"/>
        <v>0</v>
      </c>
      <c r="CB111" s="188">
        <f t="shared" ca="1" si="307"/>
        <v>1800000</v>
      </c>
      <c r="CC111" s="144"/>
      <c r="CD111" s="126">
        <f t="shared" ca="1" si="308"/>
        <v>1800000</v>
      </c>
      <c r="CE111" s="126"/>
      <c r="CF111" s="97">
        <f t="shared" ca="1" si="309"/>
        <v>0</v>
      </c>
      <c r="CG111" s="97">
        <f t="shared" ca="1" si="274"/>
        <v>21600000</v>
      </c>
      <c r="CH111" s="151">
        <f t="shared" ca="1" si="310"/>
        <v>0</v>
      </c>
      <c r="CI111" s="188">
        <f t="shared" ca="1" si="311"/>
        <v>1800000</v>
      </c>
      <c r="CJ111" s="5"/>
      <c r="CK111" s="5"/>
      <c r="CL111" s="5"/>
    </row>
    <row r="112" spans="1:90" s="6" customFormat="1">
      <c r="A112" s="133" t="s">
        <v>165</v>
      </c>
      <c r="B112" s="63">
        <v>51952501</v>
      </c>
      <c r="C112" s="134">
        <f t="shared" ca="1" si="652"/>
        <v>764218</v>
      </c>
      <c r="D112" s="78"/>
      <c r="E112" s="126">
        <f ca="1">$C112/COUNTA(E$1:$CI$1)</f>
        <v>63684.833333333336</v>
      </c>
      <c r="F112" s="126"/>
      <c r="G112" s="104">
        <f t="shared" ca="1" si="251"/>
        <v>107267</v>
      </c>
      <c r="H112" s="98">
        <f t="shared" ca="1" si="276"/>
        <v>63684.833333333336</v>
      </c>
      <c r="I112" s="57">
        <f t="shared" ca="1" si="252"/>
        <v>107267</v>
      </c>
      <c r="J112" s="188">
        <f t="shared" ca="1" si="277"/>
        <v>43582.166666666664</v>
      </c>
      <c r="K112" s="70"/>
      <c r="L112" s="126">
        <f t="shared" ca="1" si="312"/>
        <v>63684.833333333336</v>
      </c>
      <c r="M112" s="126"/>
      <c r="N112" s="97">
        <f t="shared" ca="1" si="278"/>
        <v>9243</v>
      </c>
      <c r="O112" s="98">
        <f t="shared" ca="1" si="279"/>
        <v>127369.66666666667</v>
      </c>
      <c r="P112" s="151">
        <f t="shared" ca="1" si="280"/>
        <v>116510</v>
      </c>
      <c r="Q112" s="188">
        <f t="shared" ca="1" si="281"/>
        <v>54441.833333333336</v>
      </c>
      <c r="R112" s="70"/>
      <c r="S112" s="126">
        <f t="shared" ca="1" si="254"/>
        <v>63684.833333333336</v>
      </c>
      <c r="T112" s="126"/>
      <c r="U112" s="97">
        <f t="shared" ca="1" si="282"/>
        <v>233676</v>
      </c>
      <c r="V112" s="97">
        <f t="shared" ca="1" si="255"/>
        <v>191054.5</v>
      </c>
      <c r="W112" s="151">
        <f t="shared" ca="1" si="283"/>
        <v>350186</v>
      </c>
      <c r="X112" s="188">
        <f t="shared" ca="1" si="284"/>
        <v>-169991.16666666666</v>
      </c>
      <c r="Y112" s="70"/>
      <c r="Z112" s="126">
        <f t="shared" ca="1" si="256"/>
        <v>63684.833333333336</v>
      </c>
      <c r="AA112" s="126"/>
      <c r="AB112" s="97">
        <f t="shared" ca="1" si="285"/>
        <v>8403</v>
      </c>
      <c r="AC112" s="97">
        <f t="shared" ca="1" si="257"/>
        <v>254739.33333333334</v>
      </c>
      <c r="AD112" s="151">
        <f t="shared" ca="1" si="286"/>
        <v>358589</v>
      </c>
      <c r="AE112" s="188">
        <f t="shared" ca="1" si="287"/>
        <v>55281.833333333336</v>
      </c>
      <c r="AF112" s="70"/>
      <c r="AG112" s="126">
        <f t="shared" ca="1" si="258"/>
        <v>63684.833333333336</v>
      </c>
      <c r="AH112" s="126"/>
      <c r="AI112" s="97">
        <f t="shared" ca="1" si="288"/>
        <v>23520</v>
      </c>
      <c r="AJ112" s="97">
        <f t="shared" ca="1" si="259"/>
        <v>318424.16666666669</v>
      </c>
      <c r="AK112" s="151">
        <f t="shared" ca="1" si="289"/>
        <v>382109</v>
      </c>
      <c r="AL112" s="188">
        <f t="shared" ca="1" si="290"/>
        <v>40164.833333333336</v>
      </c>
      <c r="AM112" s="70"/>
      <c r="AN112" s="126">
        <f t="shared" ca="1" si="260"/>
        <v>63684.833333333336</v>
      </c>
      <c r="AO112" s="126"/>
      <c r="AP112" s="97">
        <f t="shared" ca="1" si="291"/>
        <v>0</v>
      </c>
      <c r="AQ112" s="97">
        <f t="shared" ca="1" si="261"/>
        <v>382109</v>
      </c>
      <c r="AR112" s="151">
        <f t="shared" ca="1" si="292"/>
        <v>382109</v>
      </c>
      <c r="AS112" s="188">
        <f t="shared" ca="1" si="293"/>
        <v>63684.833333333336</v>
      </c>
      <c r="AT112" s="70"/>
      <c r="AU112" s="126">
        <f t="shared" ca="1" si="262"/>
        <v>63684.833333333336</v>
      </c>
      <c r="AV112" s="126"/>
      <c r="AW112" s="97">
        <f t="shared" ca="1" si="294"/>
        <v>25580</v>
      </c>
      <c r="AX112" s="126">
        <f t="shared" ca="1" si="263"/>
        <v>445793.83333333331</v>
      </c>
      <c r="AY112" s="151">
        <f t="shared" ca="1" si="295"/>
        <v>407689</v>
      </c>
      <c r="AZ112" s="188">
        <f t="shared" ca="1" si="296"/>
        <v>38104.833333333336</v>
      </c>
      <c r="BA112" s="144"/>
      <c r="BB112" s="126">
        <f t="shared" ca="1" si="264"/>
        <v>63684.833333333336</v>
      </c>
      <c r="BC112" s="126"/>
      <c r="BD112" s="97">
        <f t="shared" ca="1" si="297"/>
        <v>188041</v>
      </c>
      <c r="BE112" s="97">
        <f t="shared" ca="1" si="265"/>
        <v>509478.66666666663</v>
      </c>
      <c r="BF112" s="151">
        <f t="shared" ca="1" si="298"/>
        <v>595730</v>
      </c>
      <c r="BG112" s="188">
        <f t="shared" ca="1" si="299"/>
        <v>-124356.16666666666</v>
      </c>
      <c r="BH112" s="144"/>
      <c r="BI112" s="126">
        <f t="shared" ca="1" si="266"/>
        <v>63684.833333333336</v>
      </c>
      <c r="BJ112" s="126"/>
      <c r="BK112" s="97">
        <f t="shared" ca="1" si="651"/>
        <v>0</v>
      </c>
      <c r="BL112" s="97">
        <f t="shared" ca="1" si="268"/>
        <v>573163.5</v>
      </c>
      <c r="BM112" s="151">
        <f t="shared" ca="1" si="300"/>
        <v>0</v>
      </c>
      <c r="BN112" s="188">
        <f t="shared" ca="1" si="301"/>
        <v>63684.833333333336</v>
      </c>
      <c r="BO112" s="144"/>
      <c r="BP112" s="126">
        <f t="shared" ca="1" si="269"/>
        <v>63684.833333333336</v>
      </c>
      <c r="BQ112" s="126"/>
      <c r="BR112" s="97">
        <f t="shared" ca="1" si="302"/>
        <v>0</v>
      </c>
      <c r="BS112" s="97">
        <f t="shared" ca="1" si="270"/>
        <v>636848.33333333337</v>
      </c>
      <c r="BT112" s="151">
        <f t="shared" ca="1" si="303"/>
        <v>0</v>
      </c>
      <c r="BU112" s="188">
        <f t="shared" ca="1" si="304"/>
        <v>63684.833333333336</v>
      </c>
      <c r="BV112" s="144"/>
      <c r="BW112" s="126">
        <f t="shared" ca="1" si="271"/>
        <v>63684.833333333336</v>
      </c>
      <c r="BX112" s="126"/>
      <c r="BY112" s="97">
        <f t="shared" ca="1" si="305"/>
        <v>0</v>
      </c>
      <c r="BZ112" s="97">
        <f t="shared" ca="1" si="272"/>
        <v>700533.16666666674</v>
      </c>
      <c r="CA112" s="151">
        <f t="shared" ca="1" si="306"/>
        <v>0</v>
      </c>
      <c r="CB112" s="188">
        <f t="shared" ca="1" si="307"/>
        <v>63684.833333333336</v>
      </c>
      <c r="CC112" s="144"/>
      <c r="CD112" s="126">
        <f t="shared" ca="1" si="308"/>
        <v>63684.833333333336</v>
      </c>
      <c r="CE112" s="126"/>
      <c r="CF112" s="97">
        <f t="shared" ca="1" si="309"/>
        <v>0</v>
      </c>
      <c r="CG112" s="97">
        <f t="shared" ca="1" si="274"/>
        <v>764218.00000000012</v>
      </c>
      <c r="CH112" s="151">
        <f t="shared" ca="1" si="310"/>
        <v>0</v>
      </c>
      <c r="CI112" s="188">
        <f t="shared" ca="1" si="311"/>
        <v>63684.833333333336</v>
      </c>
      <c r="CJ112" s="5"/>
      <c r="CK112" s="5"/>
      <c r="CL112" s="5"/>
    </row>
    <row r="113" spans="1:90" s="6" customFormat="1">
      <c r="A113" s="133" t="s">
        <v>166</v>
      </c>
      <c r="B113" s="63">
        <v>51952502</v>
      </c>
      <c r="C113" s="134">
        <f t="shared" ca="1" si="652"/>
        <v>444060</v>
      </c>
      <c r="D113" s="78"/>
      <c r="E113" s="126">
        <f ca="1">$C113/COUNTA(E$1:$CI$1)</f>
        <v>37005</v>
      </c>
      <c r="F113" s="126"/>
      <c r="G113" s="104">
        <f t="shared" ca="1" si="251"/>
        <v>76810</v>
      </c>
      <c r="H113" s="98">
        <f t="shared" ca="1" si="276"/>
        <v>37005</v>
      </c>
      <c r="I113" s="57">
        <f t="shared" ca="1" si="252"/>
        <v>76810</v>
      </c>
      <c r="J113" s="188">
        <f t="shared" ca="1" si="277"/>
        <v>39805</v>
      </c>
      <c r="K113" s="70"/>
      <c r="L113" s="126">
        <f t="shared" ca="1" si="312"/>
        <v>37005</v>
      </c>
      <c r="M113" s="126"/>
      <c r="N113" s="97">
        <f t="shared" ca="1" si="278"/>
        <v>21008.000000000204</v>
      </c>
      <c r="O113" s="98">
        <f t="shared" ca="1" si="279"/>
        <v>74010</v>
      </c>
      <c r="P113" s="151">
        <f t="shared" ca="1" si="280"/>
        <v>97818.000000000204</v>
      </c>
      <c r="Q113" s="188">
        <f t="shared" ca="1" si="281"/>
        <v>15996.999999999796</v>
      </c>
      <c r="R113" s="70"/>
      <c r="S113" s="126">
        <f t="shared" ref="S113:S133" ca="1" si="653">L113+M113</f>
        <v>37005</v>
      </c>
      <c r="T113" s="126"/>
      <c r="U113" s="97">
        <f t="shared" ca="1" si="282"/>
        <v>80554.999999999796</v>
      </c>
      <c r="V113" s="97">
        <f t="shared" ref="V113:V133" ca="1" si="654">SUM(E113:F113,L113:M113,S113:T113)</f>
        <v>111015</v>
      </c>
      <c r="W113" s="151">
        <f t="shared" ca="1" si="283"/>
        <v>178373</v>
      </c>
      <c r="X113" s="188">
        <f t="shared" ca="1" si="284"/>
        <v>-43549.999999999796</v>
      </c>
      <c r="Y113" s="70"/>
      <c r="Z113" s="126">
        <f t="shared" ref="Z113:Z133" ca="1" si="655">S113+T113</f>
        <v>37005</v>
      </c>
      <c r="AA113" s="126"/>
      <c r="AB113" s="97">
        <f t="shared" ca="1" si="285"/>
        <v>13563</v>
      </c>
      <c r="AC113" s="97">
        <f t="shared" ref="AC113:AC133" ca="1" si="656">SUM(E113:F113,L113:M113,S113:T113,Z113:AA113)</f>
        <v>148020</v>
      </c>
      <c r="AD113" s="151">
        <f t="shared" ca="1" si="286"/>
        <v>191936</v>
      </c>
      <c r="AE113" s="188">
        <f t="shared" ca="1" si="287"/>
        <v>23442</v>
      </c>
      <c r="AF113" s="70"/>
      <c r="AG113" s="126">
        <f t="shared" ref="AG113:AG133" ca="1" si="657">Z113+AA113</f>
        <v>37005</v>
      </c>
      <c r="AH113" s="126"/>
      <c r="AI113" s="97">
        <f t="shared" ca="1" si="288"/>
        <v>30094</v>
      </c>
      <c r="AJ113" s="97">
        <f t="shared" ref="AJ113:AJ133" ca="1" si="658">SUM(E113:F113,L113:M113,S113:T113,Z113:AA113,AG113:AH113)</f>
        <v>185025</v>
      </c>
      <c r="AK113" s="151">
        <f t="shared" ca="1" si="289"/>
        <v>222030</v>
      </c>
      <c r="AL113" s="188">
        <f t="shared" ca="1" si="290"/>
        <v>6911</v>
      </c>
      <c r="AM113" s="70"/>
      <c r="AN113" s="126">
        <f t="shared" ref="AN113:AN133" ca="1" si="659">AG113+AH113</f>
        <v>37005</v>
      </c>
      <c r="AO113" s="126"/>
      <c r="AP113" s="97">
        <f t="shared" ca="1" si="291"/>
        <v>0</v>
      </c>
      <c r="AQ113" s="97">
        <f t="shared" ref="AQ113:AQ133" ca="1" si="660">SUM(E113:F113,L113:M113,S113:T113,Z113:AA113,AG113:AH113,AN113:AO113)</f>
        <v>222030</v>
      </c>
      <c r="AR113" s="151">
        <f t="shared" ca="1" si="292"/>
        <v>222030</v>
      </c>
      <c r="AS113" s="188">
        <f t="shared" ca="1" si="293"/>
        <v>37005</v>
      </c>
      <c r="AT113" s="70"/>
      <c r="AU113" s="126">
        <f t="shared" ref="AU113:AU133" ca="1" si="661">AN113+AO113</f>
        <v>37005</v>
      </c>
      <c r="AV113" s="126"/>
      <c r="AW113" s="97">
        <f t="shared" ca="1" si="294"/>
        <v>10944</v>
      </c>
      <c r="AX113" s="126">
        <f t="shared" ref="AX113:AX133" ca="1" si="662">SUM(E113:F113,L113:M113,S113:T113,Z113:AA113,AG113:AH113,AN113:AO113,AU113:AV113)</f>
        <v>259035</v>
      </c>
      <c r="AY113" s="151">
        <f t="shared" ca="1" si="295"/>
        <v>232974</v>
      </c>
      <c r="AZ113" s="188">
        <f t="shared" ca="1" si="296"/>
        <v>26061</v>
      </c>
      <c r="BA113" s="144"/>
      <c r="BB113" s="126">
        <f t="shared" ref="BB113:BB133" ca="1" si="663">AU113+AV113</f>
        <v>37005</v>
      </c>
      <c r="BC113" s="126"/>
      <c r="BD113" s="97">
        <f t="shared" ca="1" si="297"/>
        <v>230253</v>
      </c>
      <c r="BE113" s="97">
        <f t="shared" ref="BE113:BE133" ca="1" si="664">SUM(E113:F113,L113:M113,S113:T113,Z113:AA113,AG113:AH113,AN113:AO113,AU113:AV113,BB113:BC113)</f>
        <v>296040</v>
      </c>
      <c r="BF113" s="151">
        <f t="shared" ca="1" si="298"/>
        <v>463227</v>
      </c>
      <c r="BG113" s="188">
        <f t="shared" ca="1" si="299"/>
        <v>-193248</v>
      </c>
      <c r="BH113" s="144"/>
      <c r="BI113" s="126">
        <f t="shared" ref="BI113:BI133" ca="1" si="665">BB113+BC113</f>
        <v>37005</v>
      </c>
      <c r="BJ113" s="126"/>
      <c r="BK113" s="97">
        <f t="shared" ca="1" si="651"/>
        <v>0</v>
      </c>
      <c r="BL113" s="97">
        <f t="shared" ref="BL113:BL133" ca="1" si="666">SUM(E113:F113,L113:M113,S113:T113,Z113:AA113,AG113:AH113,AN113:AO113,AU113:AV113,BB113:BC113,BI113:BJ113)</f>
        <v>333045</v>
      </c>
      <c r="BM113" s="151">
        <f t="shared" ca="1" si="300"/>
        <v>0</v>
      </c>
      <c r="BN113" s="188">
        <f t="shared" ca="1" si="301"/>
        <v>37005</v>
      </c>
      <c r="BO113" s="144"/>
      <c r="BP113" s="126">
        <f t="shared" ref="BP113:BP133" ca="1" si="667">BI113+BJ113</f>
        <v>37005</v>
      </c>
      <c r="BQ113" s="126"/>
      <c r="BR113" s="97">
        <f t="shared" ca="1" si="302"/>
        <v>0</v>
      </c>
      <c r="BS113" s="97">
        <f t="shared" ref="BS113:BS133" ca="1" si="668">SUM(E113:F113,L113:M113,S113:T113,Z113:AA113,AG113:AH113,AN113:AO113,AU113:AV113,BB113:BC113,BI113:BJ113,BP113:BQ113)</f>
        <v>370050</v>
      </c>
      <c r="BT113" s="151">
        <f t="shared" ca="1" si="303"/>
        <v>0</v>
      </c>
      <c r="BU113" s="188">
        <f t="shared" ca="1" si="304"/>
        <v>37005</v>
      </c>
      <c r="BV113" s="144"/>
      <c r="BW113" s="126">
        <f t="shared" ref="BW113:BW133" ca="1" si="669">BP113+BQ113</f>
        <v>37005</v>
      </c>
      <c r="BX113" s="126"/>
      <c r="BY113" s="97">
        <f t="shared" ca="1" si="305"/>
        <v>0</v>
      </c>
      <c r="BZ113" s="97">
        <f t="shared" ref="BZ113:BZ133" ca="1" si="670">SUM(E113:F113,L113:M113,S113:T113,Z113:AA113,AG113:AH113,AN113:AO113,AU113:AV113,BB113:BC113,BI113:BJ113,BP113:BQ113,BW113:BX113)</f>
        <v>407055</v>
      </c>
      <c r="CA113" s="151">
        <f t="shared" ca="1" si="306"/>
        <v>0</v>
      </c>
      <c r="CB113" s="188">
        <f t="shared" ca="1" si="307"/>
        <v>37005</v>
      </c>
      <c r="CC113" s="144"/>
      <c r="CD113" s="126">
        <f t="shared" ca="1" si="308"/>
        <v>37005</v>
      </c>
      <c r="CE113" s="126"/>
      <c r="CF113" s="97">
        <f t="shared" ca="1" si="309"/>
        <v>0</v>
      </c>
      <c r="CG113" s="97">
        <f t="shared" ref="CG113:CG133" ca="1" si="671">SUM(E113:F113,L113:M113,S113:T113,Z113:AA113,AG113:AH113,AN113:AO113,AU113:AV113,BB113:BC113,BI113:BJ113,BP113:BQ113,BW113:BX113,CD113:CE113)</f>
        <v>444060</v>
      </c>
      <c r="CH113" s="151">
        <f t="shared" ca="1" si="310"/>
        <v>0</v>
      </c>
      <c r="CI113" s="188">
        <f t="shared" ca="1" si="311"/>
        <v>37005</v>
      </c>
      <c r="CJ113" s="5"/>
      <c r="CK113" s="5"/>
      <c r="CL113" s="5"/>
    </row>
    <row r="114" spans="1:90" s="6" customFormat="1">
      <c r="A114" s="290" t="s">
        <v>193</v>
      </c>
      <c r="B114" s="63">
        <v>51952505</v>
      </c>
      <c r="C114" s="134">
        <f t="shared" ca="1" si="652"/>
        <v>0</v>
      </c>
      <c r="D114" s="78"/>
      <c r="E114" s="126">
        <f ca="1">$C114/COUNTA(E$1:$CI$1)</f>
        <v>0</v>
      </c>
      <c r="F114" s="126"/>
      <c r="G114" s="104">
        <f t="shared" ca="1" si="251"/>
        <v>0</v>
      </c>
      <c r="H114" s="98">
        <f t="shared" ca="1" si="276"/>
        <v>0</v>
      </c>
      <c r="I114" s="57">
        <f t="shared" ca="1" si="252"/>
        <v>0</v>
      </c>
      <c r="J114" s="188">
        <f t="shared" ca="1" si="277"/>
        <v>0</v>
      </c>
      <c r="K114" s="70"/>
      <c r="L114" s="126">
        <f t="shared" ca="1" si="312"/>
        <v>0</v>
      </c>
      <c r="M114" s="126"/>
      <c r="N114" s="97">
        <f t="shared" ref="N114:N133" ca="1" si="672">IFERROR(P114-I114,0)</f>
        <v>0</v>
      </c>
      <c r="O114" s="98">
        <f t="shared" ref="O114:O133" ca="1" si="673">SUM(E114:F114,L114:M114)</f>
        <v>0</v>
      </c>
      <c r="P114" s="151">
        <f t="shared" ref="P114:P133" ca="1" si="674">IFERROR(IFERROR(VLOOKUP(TEXT($B114,0),INDIRECT("'Balance a "&amp;LEFT(L$1,3)&amp;"'!$B$3:$G$300"),6,0),VLOOKUP(VALUE($B114),INDIRECT("'Balance a "&amp;LEFT(L$1,3)&amp;"'!$B$3:$G$300"),6,0)),0)</f>
        <v>0</v>
      </c>
      <c r="Q114" s="188">
        <f t="shared" ref="Q114:Q133" ca="1" si="675">IFERROR(SUM(L114:M114)-N114,0)</f>
        <v>0</v>
      </c>
      <c r="R114" s="70"/>
      <c r="S114" s="126">
        <f t="shared" ca="1" si="653"/>
        <v>0</v>
      </c>
      <c r="T114" s="126"/>
      <c r="U114" s="97">
        <f t="shared" ref="U114:U133" ca="1" si="676">IFERROR(W114-P114,0)</f>
        <v>0</v>
      </c>
      <c r="V114" s="97">
        <f t="shared" ca="1" si="654"/>
        <v>0</v>
      </c>
      <c r="W114" s="151">
        <f t="shared" ref="W114:W133" ca="1" si="677">IFERROR(IFERROR(VLOOKUP(TEXT($B114,0),INDIRECT("'Balance a "&amp;LEFT(S$1,3)&amp;"'!$B$3:$G$300"),6,0),VLOOKUP(VALUE($B114),INDIRECT("'Balance a "&amp;LEFT(S$1,3)&amp;"'!$B$3:$G$300"),6,0)),0)</f>
        <v>0</v>
      </c>
      <c r="X114" s="188">
        <f t="shared" ref="X114:X133" ca="1" si="678">IFERROR(SUM(S114:T114)-U114,0)</f>
        <v>0</v>
      </c>
      <c r="Y114" s="70"/>
      <c r="Z114" s="126">
        <f t="shared" ca="1" si="655"/>
        <v>0</v>
      </c>
      <c r="AA114" s="126"/>
      <c r="AB114" s="97">
        <f t="shared" ref="AB114:AB133" ca="1" si="679">IFERROR(AD114-W114,0)</f>
        <v>0</v>
      </c>
      <c r="AC114" s="97">
        <f t="shared" ca="1" si="656"/>
        <v>0</v>
      </c>
      <c r="AD114" s="151">
        <f t="shared" ref="AD114:AD133" ca="1" si="680">IFERROR(IFERROR(VLOOKUP(TEXT($B114,0),INDIRECT("'Balance a "&amp;LEFT(Z$1,3)&amp;"'!$B$3:$G$300"),6,0),VLOOKUP(VALUE($B114),INDIRECT("'Balance a "&amp;LEFT(Z$1,3)&amp;"'!$B$3:$G$300"),6,0)),0)</f>
        <v>0</v>
      </c>
      <c r="AE114" s="188">
        <f t="shared" ref="AE114:AE133" ca="1" si="681">IFERROR(SUM(Z114:AA114)-AB114,0)</f>
        <v>0</v>
      </c>
      <c r="AF114" s="70"/>
      <c r="AG114" s="126">
        <f t="shared" ca="1" si="657"/>
        <v>0</v>
      </c>
      <c r="AH114" s="126"/>
      <c r="AI114" s="97">
        <f t="shared" ref="AI114:AI133" ca="1" si="682">IFERROR(AK114-AD114,0)</f>
        <v>0</v>
      </c>
      <c r="AJ114" s="97">
        <f t="shared" ca="1" si="658"/>
        <v>0</v>
      </c>
      <c r="AK114" s="151">
        <f t="shared" ref="AK114:AK133" ca="1" si="683">IFERROR(IFERROR(VLOOKUP(TEXT($B114,0),INDIRECT("'Balance a "&amp;LEFT(AG$1,3)&amp;"'!$B$3:$G$300"),6,0),VLOOKUP(VALUE($B114),INDIRECT("'Balance a "&amp;LEFT(AG$1,3)&amp;"'!$B$3:$G$300"),6,0)),0)</f>
        <v>0</v>
      </c>
      <c r="AL114" s="188">
        <f t="shared" ref="AL114:AL133" ca="1" si="684">IFERROR(SUM(AG114:AH114)-AI114,0)</f>
        <v>0</v>
      </c>
      <c r="AM114" s="70"/>
      <c r="AN114" s="126">
        <f t="shared" ca="1" si="659"/>
        <v>0</v>
      </c>
      <c r="AO114" s="126"/>
      <c r="AP114" s="97">
        <f t="shared" ref="AP114:AP133" ca="1" si="685">IFERROR(AR114-AK114,0)</f>
        <v>0</v>
      </c>
      <c r="AQ114" s="97">
        <f t="shared" ca="1" si="660"/>
        <v>0</v>
      </c>
      <c r="AR114" s="151">
        <f t="shared" ref="AR114:AR133" ca="1" si="686">IFERROR(IFERROR(VLOOKUP(TEXT($B114,0),INDIRECT("'Balance a "&amp;LEFT(AN$1,3)&amp;"'!$B$3:$G$300"),6,0),VLOOKUP(VALUE($B114),INDIRECT("'Balance a "&amp;LEFT(AN$1,3)&amp;"'!$B$3:$G$300"),6,0)),0)</f>
        <v>0</v>
      </c>
      <c r="AS114" s="188">
        <f t="shared" ref="AS114:AS133" ca="1" si="687">IFERROR(SUM(AN114:AO114)-AP114,0)</f>
        <v>0</v>
      </c>
      <c r="AT114" s="70"/>
      <c r="AU114" s="126">
        <f t="shared" ca="1" si="661"/>
        <v>0</v>
      </c>
      <c r="AV114" s="126"/>
      <c r="AW114" s="97">
        <f t="shared" ref="AW114:AW133" ca="1" si="688">IFERROR(AY114-AR114,0)</f>
        <v>0</v>
      </c>
      <c r="AX114" s="126">
        <f t="shared" ca="1" si="662"/>
        <v>0</v>
      </c>
      <c r="AY114" s="151">
        <f t="shared" ref="AY114:AY133" ca="1" si="689">IFERROR(IFERROR(VLOOKUP(TEXT($B114,0),INDIRECT("'Balance a "&amp;LEFT(AU$1,3)&amp;"'!$B$3:$G$300"),6,0),VLOOKUP(VALUE($B114),INDIRECT("'Balance a "&amp;LEFT(AU$1,3)&amp;"'!$B$3:$G$300"),6,0)),0)</f>
        <v>0</v>
      </c>
      <c r="AZ114" s="188">
        <f t="shared" ref="AZ114:AZ133" ca="1" si="690">IFERROR(SUM(AU114:AV114)-AW114,0)</f>
        <v>0</v>
      </c>
      <c r="BA114" s="144"/>
      <c r="BB114" s="126">
        <f t="shared" ca="1" si="663"/>
        <v>0</v>
      </c>
      <c r="BC114" s="126"/>
      <c r="BD114" s="97">
        <f t="shared" ref="BD114:BD133" ca="1" si="691">IFERROR(BF114-AY114,0)</f>
        <v>0</v>
      </c>
      <c r="BE114" s="97">
        <f t="shared" ca="1" si="664"/>
        <v>0</v>
      </c>
      <c r="BF114" s="151">
        <f t="shared" ref="BF114:BF133" ca="1" si="692">IFERROR(IFERROR(VLOOKUP(TEXT($B114,0),INDIRECT("'Balance a "&amp;LEFT(BB$1,3)&amp;"'!$B$3:$G$300"),6,0),VLOOKUP(VALUE($B114),INDIRECT("'Balance a "&amp;LEFT(BB$1,3)&amp;"'!$B$3:$G$300"),6,0)),0)</f>
        <v>0</v>
      </c>
      <c r="BG114" s="188">
        <f t="shared" ref="BG114:BG133" ca="1" si="693">IFERROR(SUM(BB114:BC114)-BD114,0)</f>
        <v>0</v>
      </c>
      <c r="BH114" s="144"/>
      <c r="BI114" s="126">
        <f t="shared" ca="1" si="665"/>
        <v>0</v>
      </c>
      <c r="BJ114" s="126"/>
      <c r="BK114" s="97">
        <f t="shared" ca="1" si="651"/>
        <v>0</v>
      </c>
      <c r="BL114" s="97">
        <f t="shared" ca="1" si="666"/>
        <v>0</v>
      </c>
      <c r="BM114" s="151">
        <f t="shared" ref="BM114:BM133" ca="1" si="694">IFERROR(IFERROR(VLOOKUP(TEXT($B114,0),INDIRECT("'Balance a "&amp;LEFT(BI$1,3)&amp;"'!$B$3:$G$300"),6,0),VLOOKUP(VALUE($B114),INDIRECT("'Balance a "&amp;LEFT(BI$1,3)&amp;"'!$B$3:$G$300"),6,0)),0)</f>
        <v>0</v>
      </c>
      <c r="BN114" s="188">
        <f t="shared" ref="BN114:BN133" ca="1" si="695">IFERROR(SUM(BI114:BJ114)-BK114,0)</f>
        <v>0</v>
      </c>
      <c r="BO114" s="144"/>
      <c r="BP114" s="126">
        <f t="shared" ca="1" si="667"/>
        <v>0</v>
      </c>
      <c r="BQ114" s="126"/>
      <c r="BR114" s="97">
        <f t="shared" ref="BR114:BR133" ca="1" si="696">IFERROR(BT114-BM114,0)</f>
        <v>0</v>
      </c>
      <c r="BS114" s="97">
        <f t="shared" ca="1" si="668"/>
        <v>0</v>
      </c>
      <c r="BT114" s="151">
        <f t="shared" ref="BT114:BT133" ca="1" si="697">IFERROR(IFERROR(VLOOKUP(TEXT($B114,0),INDIRECT("'Balance a "&amp;LEFT(BP$1,3)&amp;"'!$B$3:$G$300"),6,0),VLOOKUP(VALUE($B114),INDIRECT("'Balance a "&amp;LEFT(BP$1,3)&amp;"'!$B$3:$G$300"),6,0)),0)</f>
        <v>0</v>
      </c>
      <c r="BU114" s="188">
        <f t="shared" ref="BU114:BU133" ca="1" si="698">IFERROR(SUM(BP114:BQ114)-BR114,0)</f>
        <v>0</v>
      </c>
      <c r="BV114" s="144"/>
      <c r="BW114" s="126">
        <f t="shared" ca="1" si="669"/>
        <v>0</v>
      </c>
      <c r="BX114" s="126"/>
      <c r="BY114" s="97">
        <f t="shared" ref="BY114:BY133" ca="1" si="699">IFERROR(CA114-BT114,0)</f>
        <v>0</v>
      </c>
      <c r="BZ114" s="97">
        <f t="shared" ca="1" si="670"/>
        <v>0</v>
      </c>
      <c r="CA114" s="151">
        <f t="shared" ref="CA114:CA133" ca="1" si="700">IFERROR(IFERROR(VLOOKUP(TEXT($B114,0),INDIRECT("'Balance a "&amp;LEFT(BW$1,3)&amp;"'!$B$3:$G$300"),6,0),VLOOKUP(VALUE($B114),INDIRECT("'Balance a "&amp;LEFT(BW$1,3)&amp;"'!$B$3:$G$300"),6,0)),0)</f>
        <v>0</v>
      </c>
      <c r="CB114" s="188">
        <f t="shared" ref="CB114:CB133" ca="1" si="701">IFERROR(SUM(BW114:BX114)-BY114,0)</f>
        <v>0</v>
      </c>
      <c r="CC114" s="144"/>
      <c r="CD114" s="126">
        <f t="shared" ref="CD114:CD133" ca="1" si="702">BW114+BX114</f>
        <v>0</v>
      </c>
      <c r="CE114" s="126"/>
      <c r="CF114" s="97">
        <f t="shared" ref="CF114:CF133" ca="1" si="703">IFERROR(CH114-CA114,0)</f>
        <v>0</v>
      </c>
      <c r="CG114" s="97">
        <f t="shared" ca="1" si="671"/>
        <v>0</v>
      </c>
      <c r="CH114" s="151">
        <f t="shared" ref="CH114:CH133" ca="1" si="704">IFERROR(IFERROR(VLOOKUP(TEXT($B114,0),INDIRECT("'Balance a "&amp;LEFT(CD$1,3)&amp;"'!$B$3:$G$300"),6,0),VLOOKUP(VALUE($B114),INDIRECT("'Balance a "&amp;LEFT(CD$1,3)&amp;"'!$B$3:$G$300"),6,0)),0)</f>
        <v>0</v>
      </c>
      <c r="CI114" s="188">
        <f t="shared" ref="CI114:CI133" ca="1" si="705">IFERROR(SUM(CD114:CE114)-CF114,0)</f>
        <v>0</v>
      </c>
      <c r="CJ114" s="5"/>
      <c r="CK114" s="5"/>
      <c r="CL114" s="5"/>
    </row>
    <row r="115" spans="1:90" s="6" customFormat="1">
      <c r="A115" s="290" t="s">
        <v>167</v>
      </c>
      <c r="B115" s="63">
        <v>51953001</v>
      </c>
      <c r="C115" s="134">
        <f t="shared" ca="1" si="652"/>
        <v>198156.00000000381</v>
      </c>
      <c r="D115" s="78"/>
      <c r="E115" s="126">
        <f ca="1">$C115/COUNTA(E$1:$CI$1)</f>
        <v>16513.000000000317</v>
      </c>
      <c r="F115" s="126"/>
      <c r="G115" s="104">
        <f t="shared" ca="1" si="251"/>
        <v>15126</v>
      </c>
      <c r="H115" s="98">
        <f t="shared" ca="1" si="276"/>
        <v>16513.000000000317</v>
      </c>
      <c r="I115" s="57">
        <f t="shared" ca="1" si="252"/>
        <v>15126</v>
      </c>
      <c r="J115" s="188">
        <f t="shared" ca="1" si="277"/>
        <v>-1387.0000000003165</v>
      </c>
      <c r="K115" s="70"/>
      <c r="L115" s="126">
        <f t="shared" ca="1" si="312"/>
        <v>16513.000000000317</v>
      </c>
      <c r="M115" s="126"/>
      <c r="N115" s="97">
        <f t="shared" ca="1" si="672"/>
        <v>12606.000000001899</v>
      </c>
      <c r="O115" s="98">
        <f t="shared" ca="1" si="673"/>
        <v>33026.000000000633</v>
      </c>
      <c r="P115" s="151">
        <f t="shared" ca="1" si="674"/>
        <v>27732.000000001899</v>
      </c>
      <c r="Q115" s="188">
        <f t="shared" ca="1" si="675"/>
        <v>3906.9999999984175</v>
      </c>
      <c r="R115" s="70"/>
      <c r="S115" s="126">
        <f t="shared" ca="1" si="653"/>
        <v>16513.000000000317</v>
      </c>
      <c r="T115" s="126"/>
      <c r="U115" s="97">
        <f t="shared" ca="1" si="676"/>
        <v>23530</v>
      </c>
      <c r="V115" s="97">
        <f t="shared" ca="1" si="654"/>
        <v>49539.000000000946</v>
      </c>
      <c r="W115" s="151">
        <f t="shared" ca="1" si="677"/>
        <v>51262.000000001899</v>
      </c>
      <c r="X115" s="188">
        <f t="shared" ca="1" si="678"/>
        <v>-7016.9999999996835</v>
      </c>
      <c r="Y115" s="70"/>
      <c r="Z115" s="126">
        <f t="shared" ca="1" si="655"/>
        <v>16513.000000000317</v>
      </c>
      <c r="AA115" s="126"/>
      <c r="AB115" s="97">
        <f t="shared" ca="1" si="679"/>
        <v>10925</v>
      </c>
      <c r="AC115" s="97">
        <f t="shared" ca="1" si="656"/>
        <v>66052.000000001266</v>
      </c>
      <c r="AD115" s="151">
        <f t="shared" ca="1" si="680"/>
        <v>62187.000000001899</v>
      </c>
      <c r="AE115" s="188">
        <f t="shared" ca="1" si="681"/>
        <v>5588.0000000003165</v>
      </c>
      <c r="AF115" s="70"/>
      <c r="AG115" s="126">
        <f t="shared" ca="1" si="657"/>
        <v>16513.000000000317</v>
      </c>
      <c r="AH115" s="126"/>
      <c r="AI115" s="97">
        <f t="shared" ca="1" si="682"/>
        <v>11765.000000000007</v>
      </c>
      <c r="AJ115" s="97">
        <f t="shared" ca="1" si="658"/>
        <v>82565.000000001586</v>
      </c>
      <c r="AK115" s="151">
        <f t="shared" ca="1" si="683"/>
        <v>73952.000000001906</v>
      </c>
      <c r="AL115" s="188">
        <f t="shared" ca="1" si="684"/>
        <v>4748.0000000003092</v>
      </c>
      <c r="AM115" s="70"/>
      <c r="AN115" s="126">
        <f t="shared" ca="1" si="659"/>
        <v>16513.000000000317</v>
      </c>
      <c r="AO115" s="126"/>
      <c r="AP115" s="97">
        <f t="shared" ca="1" si="685"/>
        <v>25126</v>
      </c>
      <c r="AQ115" s="97">
        <f t="shared" ca="1" si="660"/>
        <v>99078.000000001906</v>
      </c>
      <c r="AR115" s="151">
        <f t="shared" ca="1" si="686"/>
        <v>99078.000000001906</v>
      </c>
      <c r="AS115" s="188">
        <f t="shared" ca="1" si="687"/>
        <v>-8612.9999999996835</v>
      </c>
      <c r="AT115" s="70"/>
      <c r="AU115" s="126">
        <f t="shared" ca="1" si="661"/>
        <v>16513.000000000317</v>
      </c>
      <c r="AV115" s="126"/>
      <c r="AW115" s="97">
        <f t="shared" ca="1" si="688"/>
        <v>0</v>
      </c>
      <c r="AX115" s="126">
        <f t="shared" ca="1" si="662"/>
        <v>115591.00000000223</v>
      </c>
      <c r="AY115" s="151">
        <f t="shared" ca="1" si="689"/>
        <v>99078.000000001906</v>
      </c>
      <c r="AZ115" s="188">
        <f t="shared" ca="1" si="690"/>
        <v>16513.000000000317</v>
      </c>
      <c r="BA115" s="144"/>
      <c r="BB115" s="126">
        <f t="shared" ca="1" si="663"/>
        <v>16513.000000000317</v>
      </c>
      <c r="BC115" s="126"/>
      <c r="BD115" s="97">
        <f t="shared" ca="1" si="691"/>
        <v>177815.11999999906</v>
      </c>
      <c r="BE115" s="97">
        <f t="shared" ca="1" si="664"/>
        <v>132104.00000000253</v>
      </c>
      <c r="BF115" s="151">
        <f t="shared" ca="1" si="692"/>
        <v>276893.12000000098</v>
      </c>
      <c r="BG115" s="188">
        <f t="shared" ca="1" si="693"/>
        <v>-161302.11999999874</v>
      </c>
      <c r="BH115" s="144"/>
      <c r="BI115" s="126">
        <f t="shared" ca="1" si="665"/>
        <v>16513.000000000317</v>
      </c>
      <c r="BJ115" s="126"/>
      <c r="BK115" s="97">
        <f t="shared" ca="1" si="651"/>
        <v>0</v>
      </c>
      <c r="BL115" s="97">
        <f t="shared" ca="1" si="666"/>
        <v>148617.00000000285</v>
      </c>
      <c r="BM115" s="151">
        <f t="shared" ca="1" si="694"/>
        <v>0</v>
      </c>
      <c r="BN115" s="188">
        <f t="shared" ca="1" si="695"/>
        <v>16513.000000000317</v>
      </c>
      <c r="BO115" s="144"/>
      <c r="BP115" s="126">
        <f t="shared" ca="1" si="667"/>
        <v>16513.000000000317</v>
      </c>
      <c r="BQ115" s="126"/>
      <c r="BR115" s="97">
        <f t="shared" ca="1" si="696"/>
        <v>0</v>
      </c>
      <c r="BS115" s="97">
        <f t="shared" ca="1" si="668"/>
        <v>165130.00000000317</v>
      </c>
      <c r="BT115" s="151">
        <f t="shared" ca="1" si="697"/>
        <v>0</v>
      </c>
      <c r="BU115" s="188">
        <f t="shared" ca="1" si="698"/>
        <v>16513.000000000317</v>
      </c>
      <c r="BV115" s="144"/>
      <c r="BW115" s="126">
        <f t="shared" ca="1" si="669"/>
        <v>16513.000000000317</v>
      </c>
      <c r="BX115" s="126"/>
      <c r="BY115" s="97">
        <f t="shared" ca="1" si="699"/>
        <v>0</v>
      </c>
      <c r="BZ115" s="97">
        <f t="shared" ca="1" si="670"/>
        <v>181643.00000000349</v>
      </c>
      <c r="CA115" s="151">
        <f t="shared" ca="1" si="700"/>
        <v>0</v>
      </c>
      <c r="CB115" s="188">
        <f t="shared" ca="1" si="701"/>
        <v>16513.000000000317</v>
      </c>
      <c r="CC115" s="144"/>
      <c r="CD115" s="126">
        <f t="shared" ca="1" si="702"/>
        <v>16513.000000000317</v>
      </c>
      <c r="CE115" s="126"/>
      <c r="CF115" s="97">
        <f t="shared" ca="1" si="703"/>
        <v>0</v>
      </c>
      <c r="CG115" s="97">
        <f t="shared" ca="1" si="671"/>
        <v>198156.00000000381</v>
      </c>
      <c r="CH115" s="151">
        <f t="shared" ca="1" si="704"/>
        <v>0</v>
      </c>
      <c r="CI115" s="188">
        <f t="shared" ca="1" si="705"/>
        <v>16513.000000000317</v>
      </c>
      <c r="CJ115" s="5"/>
      <c r="CK115" s="5"/>
      <c r="CL115" s="5"/>
    </row>
    <row r="116" spans="1:90" s="6" customFormat="1">
      <c r="A116" s="290" t="s">
        <v>168</v>
      </c>
      <c r="B116" s="63">
        <v>51953003</v>
      </c>
      <c r="C116" s="134">
        <f t="shared" ca="1" si="652"/>
        <v>400000</v>
      </c>
      <c r="D116" s="78"/>
      <c r="E116" s="126">
        <f ca="1">$C116/COUNTA(E$1:$CI$1)</f>
        <v>33333.333333333336</v>
      </c>
      <c r="F116" s="126"/>
      <c r="G116" s="104">
        <f t="shared" ca="1" si="251"/>
        <v>0</v>
      </c>
      <c r="H116" s="98">
        <f t="shared" ca="1" si="276"/>
        <v>33333.333333333336</v>
      </c>
      <c r="I116" s="57">
        <f t="shared" ca="1" si="252"/>
        <v>0</v>
      </c>
      <c r="J116" s="188">
        <f t="shared" ca="1" si="277"/>
        <v>-33333.333333333336</v>
      </c>
      <c r="K116" s="70"/>
      <c r="L116" s="126">
        <f t="shared" ca="1" si="312"/>
        <v>33333.333333333336</v>
      </c>
      <c r="M116" s="126"/>
      <c r="N116" s="97">
        <f t="shared" ca="1" si="672"/>
        <v>35000</v>
      </c>
      <c r="O116" s="98">
        <f t="shared" ca="1" si="673"/>
        <v>66666.666666666672</v>
      </c>
      <c r="P116" s="151">
        <f t="shared" ca="1" si="674"/>
        <v>35000</v>
      </c>
      <c r="Q116" s="188">
        <f t="shared" ca="1" si="675"/>
        <v>-1666.6666666666642</v>
      </c>
      <c r="R116" s="70"/>
      <c r="S116" s="126">
        <f t="shared" ca="1" si="653"/>
        <v>33333.333333333336</v>
      </c>
      <c r="T116" s="126"/>
      <c r="U116" s="97">
        <f t="shared" ca="1" si="676"/>
        <v>75000</v>
      </c>
      <c r="V116" s="97">
        <f t="shared" ca="1" si="654"/>
        <v>100000</v>
      </c>
      <c r="W116" s="151">
        <f t="shared" ca="1" si="677"/>
        <v>110000</v>
      </c>
      <c r="X116" s="188">
        <f t="shared" ca="1" si="678"/>
        <v>-41666.666666666664</v>
      </c>
      <c r="Y116" s="70"/>
      <c r="Z116" s="126">
        <f t="shared" ca="1" si="655"/>
        <v>33333.333333333336</v>
      </c>
      <c r="AA116" s="126"/>
      <c r="AB116" s="97">
        <f t="shared" ca="1" si="679"/>
        <v>0</v>
      </c>
      <c r="AC116" s="97">
        <f t="shared" ca="1" si="656"/>
        <v>133333.33333333334</v>
      </c>
      <c r="AD116" s="151">
        <f t="shared" ca="1" si="680"/>
        <v>110000</v>
      </c>
      <c r="AE116" s="188">
        <f t="shared" ca="1" si="681"/>
        <v>33333.333333333336</v>
      </c>
      <c r="AF116" s="70"/>
      <c r="AG116" s="126">
        <f t="shared" ca="1" si="657"/>
        <v>33333.333333333336</v>
      </c>
      <c r="AH116" s="126"/>
      <c r="AI116" s="97">
        <f t="shared" ca="1" si="682"/>
        <v>0</v>
      </c>
      <c r="AJ116" s="97">
        <f t="shared" ca="1" si="658"/>
        <v>166666.66666666669</v>
      </c>
      <c r="AK116" s="151">
        <f t="shared" ca="1" si="683"/>
        <v>110000</v>
      </c>
      <c r="AL116" s="188">
        <f t="shared" ca="1" si="684"/>
        <v>33333.333333333336</v>
      </c>
      <c r="AM116" s="70"/>
      <c r="AN116" s="126">
        <f t="shared" ca="1" si="659"/>
        <v>33333.333333333336</v>
      </c>
      <c r="AO116" s="126"/>
      <c r="AP116" s="97">
        <f t="shared" ca="1" si="685"/>
        <v>90000</v>
      </c>
      <c r="AQ116" s="97">
        <f t="shared" ca="1" si="660"/>
        <v>200000.00000000003</v>
      </c>
      <c r="AR116" s="151">
        <f t="shared" ca="1" si="686"/>
        <v>200000</v>
      </c>
      <c r="AS116" s="188">
        <f t="shared" ca="1" si="687"/>
        <v>-56666.666666666664</v>
      </c>
      <c r="AT116" s="70"/>
      <c r="AU116" s="126">
        <f t="shared" ca="1" si="661"/>
        <v>33333.333333333336</v>
      </c>
      <c r="AV116" s="126"/>
      <c r="AW116" s="97">
        <f t="shared" ca="1" si="688"/>
        <v>15000</v>
      </c>
      <c r="AX116" s="126">
        <f t="shared" ca="1" si="662"/>
        <v>233333.33333333337</v>
      </c>
      <c r="AY116" s="151">
        <f t="shared" ca="1" si="689"/>
        <v>215000</v>
      </c>
      <c r="AZ116" s="188">
        <f t="shared" ca="1" si="690"/>
        <v>18333.333333333336</v>
      </c>
      <c r="BA116" s="144"/>
      <c r="BB116" s="126">
        <f t="shared" ca="1" si="663"/>
        <v>33333.333333333336</v>
      </c>
      <c r="BC116" s="126"/>
      <c r="BD116" s="97">
        <f t="shared" ca="1" si="691"/>
        <v>0</v>
      </c>
      <c r="BE116" s="97">
        <f t="shared" ca="1" si="664"/>
        <v>266666.66666666669</v>
      </c>
      <c r="BF116" s="151">
        <f t="shared" ca="1" si="692"/>
        <v>215000</v>
      </c>
      <c r="BG116" s="188">
        <f t="shared" ca="1" si="693"/>
        <v>33333.333333333336</v>
      </c>
      <c r="BH116" s="144"/>
      <c r="BI116" s="126">
        <f t="shared" ca="1" si="665"/>
        <v>33333.333333333336</v>
      </c>
      <c r="BJ116" s="126"/>
      <c r="BK116" s="97">
        <f t="shared" ca="1" si="651"/>
        <v>0</v>
      </c>
      <c r="BL116" s="97">
        <f t="shared" ca="1" si="666"/>
        <v>300000</v>
      </c>
      <c r="BM116" s="151">
        <f t="shared" ca="1" si="694"/>
        <v>0</v>
      </c>
      <c r="BN116" s="188">
        <f t="shared" ca="1" si="695"/>
        <v>33333.333333333336</v>
      </c>
      <c r="BO116" s="144"/>
      <c r="BP116" s="126">
        <f t="shared" ca="1" si="667"/>
        <v>33333.333333333336</v>
      </c>
      <c r="BQ116" s="126"/>
      <c r="BR116" s="97">
        <f t="shared" ca="1" si="696"/>
        <v>0</v>
      </c>
      <c r="BS116" s="97">
        <f t="shared" ca="1" si="668"/>
        <v>333333.33333333331</v>
      </c>
      <c r="BT116" s="151">
        <f t="shared" ca="1" si="697"/>
        <v>0</v>
      </c>
      <c r="BU116" s="188">
        <f t="shared" ca="1" si="698"/>
        <v>33333.333333333336</v>
      </c>
      <c r="BV116" s="144"/>
      <c r="BW116" s="126">
        <f t="shared" ca="1" si="669"/>
        <v>33333.333333333336</v>
      </c>
      <c r="BX116" s="126"/>
      <c r="BY116" s="97">
        <f t="shared" ca="1" si="699"/>
        <v>0</v>
      </c>
      <c r="BZ116" s="97">
        <f t="shared" ca="1" si="670"/>
        <v>366666.66666666663</v>
      </c>
      <c r="CA116" s="151">
        <f t="shared" ca="1" si="700"/>
        <v>0</v>
      </c>
      <c r="CB116" s="188">
        <f t="shared" ca="1" si="701"/>
        <v>33333.333333333336</v>
      </c>
      <c r="CC116" s="144"/>
      <c r="CD116" s="126">
        <f t="shared" ca="1" si="702"/>
        <v>33333.333333333336</v>
      </c>
      <c r="CE116" s="126"/>
      <c r="CF116" s="97">
        <f t="shared" ca="1" si="703"/>
        <v>0</v>
      </c>
      <c r="CG116" s="97">
        <f t="shared" ca="1" si="671"/>
        <v>399999.99999999994</v>
      </c>
      <c r="CH116" s="151">
        <f t="shared" ca="1" si="704"/>
        <v>0</v>
      </c>
      <c r="CI116" s="188">
        <f t="shared" ca="1" si="705"/>
        <v>33333.333333333336</v>
      </c>
      <c r="CJ116" s="5"/>
      <c r="CK116" s="5"/>
      <c r="CL116" s="5"/>
    </row>
    <row r="117" spans="1:90" s="6" customFormat="1">
      <c r="A117" s="290" t="s">
        <v>203</v>
      </c>
      <c r="B117" s="63">
        <v>51953004</v>
      </c>
      <c r="C117" s="134">
        <f t="shared" ca="1" si="652"/>
        <v>0</v>
      </c>
      <c r="D117" s="78"/>
      <c r="E117" s="126">
        <f ca="1">$C117/COUNTA(E$1:$CI$1)</f>
        <v>0</v>
      </c>
      <c r="F117" s="126"/>
      <c r="G117" s="104">
        <f t="shared" ref="G117:G132" ca="1" si="706">IFERROR(I117,0)</f>
        <v>0</v>
      </c>
      <c r="H117" s="98">
        <f t="shared" ca="1" si="276"/>
        <v>0</v>
      </c>
      <c r="I117" s="57">
        <f t="shared" ref="I117:I130" ca="1" si="707">IFERROR(IFERROR(VLOOKUP(TEXT($B117,0),INDIRECT("'Balance a "&amp;LEFT(E$1,3)&amp;"'!$B$3:$G$300"),4,0),VLOOKUP(VALUE($B117),INDIRECT("'Balance a "&amp;LEFT(E$1,3)&amp;"'!$B$3:$G$300"),4,0)),0)</f>
        <v>0</v>
      </c>
      <c r="J117" s="188">
        <f t="shared" ca="1" si="277"/>
        <v>0</v>
      </c>
      <c r="K117" s="70"/>
      <c r="L117" s="126">
        <f t="shared" ca="1" si="312"/>
        <v>0</v>
      </c>
      <c r="M117" s="126"/>
      <c r="N117" s="97">
        <f t="shared" ca="1" si="672"/>
        <v>0</v>
      </c>
      <c r="O117" s="98">
        <f t="shared" ca="1" si="673"/>
        <v>0</v>
      </c>
      <c r="P117" s="151">
        <f t="shared" ca="1" si="674"/>
        <v>0</v>
      </c>
      <c r="Q117" s="188">
        <f t="shared" ca="1" si="675"/>
        <v>0</v>
      </c>
      <c r="R117" s="70"/>
      <c r="S117" s="126">
        <f t="shared" ca="1" si="653"/>
        <v>0</v>
      </c>
      <c r="T117" s="126"/>
      <c r="U117" s="97">
        <f t="shared" ca="1" si="676"/>
        <v>0</v>
      </c>
      <c r="V117" s="97">
        <f t="shared" ca="1" si="654"/>
        <v>0</v>
      </c>
      <c r="W117" s="151">
        <f t="shared" ca="1" si="677"/>
        <v>0</v>
      </c>
      <c r="X117" s="188">
        <f t="shared" ca="1" si="678"/>
        <v>0</v>
      </c>
      <c r="Y117" s="70"/>
      <c r="Z117" s="126">
        <f t="shared" ca="1" si="655"/>
        <v>0</v>
      </c>
      <c r="AA117" s="126"/>
      <c r="AB117" s="97">
        <f t="shared" ca="1" si="679"/>
        <v>0</v>
      </c>
      <c r="AC117" s="97">
        <f t="shared" ca="1" si="656"/>
        <v>0</v>
      </c>
      <c r="AD117" s="151">
        <f t="shared" ca="1" si="680"/>
        <v>0</v>
      </c>
      <c r="AE117" s="188">
        <f t="shared" ca="1" si="681"/>
        <v>0</v>
      </c>
      <c r="AF117" s="70"/>
      <c r="AG117" s="126">
        <f t="shared" ca="1" si="657"/>
        <v>0</v>
      </c>
      <c r="AH117" s="126"/>
      <c r="AI117" s="97">
        <f t="shared" ca="1" si="682"/>
        <v>0</v>
      </c>
      <c r="AJ117" s="97">
        <f t="shared" ca="1" si="658"/>
        <v>0</v>
      </c>
      <c r="AK117" s="151">
        <f t="shared" ca="1" si="683"/>
        <v>0</v>
      </c>
      <c r="AL117" s="188">
        <f t="shared" ca="1" si="684"/>
        <v>0</v>
      </c>
      <c r="AM117" s="70"/>
      <c r="AN117" s="126">
        <f t="shared" ca="1" si="659"/>
        <v>0</v>
      </c>
      <c r="AO117" s="126"/>
      <c r="AP117" s="97">
        <f t="shared" ca="1" si="685"/>
        <v>0</v>
      </c>
      <c r="AQ117" s="97">
        <f t="shared" ca="1" si="660"/>
        <v>0</v>
      </c>
      <c r="AR117" s="151">
        <f t="shared" ca="1" si="686"/>
        <v>0</v>
      </c>
      <c r="AS117" s="188">
        <f t="shared" ca="1" si="687"/>
        <v>0</v>
      </c>
      <c r="AT117" s="70"/>
      <c r="AU117" s="126">
        <f t="shared" ca="1" si="661"/>
        <v>0</v>
      </c>
      <c r="AV117" s="126"/>
      <c r="AW117" s="97">
        <f t="shared" ca="1" si="688"/>
        <v>206500</v>
      </c>
      <c r="AX117" s="126">
        <f t="shared" ca="1" si="662"/>
        <v>0</v>
      </c>
      <c r="AY117" s="151">
        <f t="shared" ca="1" si="689"/>
        <v>206500</v>
      </c>
      <c r="AZ117" s="188">
        <f t="shared" ca="1" si="690"/>
        <v>-206500</v>
      </c>
      <c r="BA117" s="144"/>
      <c r="BB117" s="126">
        <f t="shared" ca="1" si="663"/>
        <v>0</v>
      </c>
      <c r="BC117" s="126"/>
      <c r="BD117" s="97">
        <f t="shared" ca="1" si="691"/>
        <v>0</v>
      </c>
      <c r="BE117" s="97">
        <f t="shared" ca="1" si="664"/>
        <v>0</v>
      </c>
      <c r="BF117" s="151">
        <f t="shared" ca="1" si="692"/>
        <v>206500</v>
      </c>
      <c r="BG117" s="188">
        <f t="shared" ca="1" si="693"/>
        <v>0</v>
      </c>
      <c r="BH117" s="144"/>
      <c r="BI117" s="126">
        <f t="shared" ca="1" si="665"/>
        <v>0</v>
      </c>
      <c r="BJ117" s="126"/>
      <c r="BK117" s="97">
        <f t="shared" ca="1" si="651"/>
        <v>0</v>
      </c>
      <c r="BL117" s="97">
        <f t="shared" ca="1" si="666"/>
        <v>0</v>
      </c>
      <c r="BM117" s="151">
        <f t="shared" ca="1" si="694"/>
        <v>0</v>
      </c>
      <c r="BN117" s="188">
        <f t="shared" ca="1" si="695"/>
        <v>0</v>
      </c>
      <c r="BO117" s="144"/>
      <c r="BP117" s="126">
        <f t="shared" ca="1" si="667"/>
        <v>0</v>
      </c>
      <c r="BQ117" s="126"/>
      <c r="BR117" s="97">
        <f t="shared" ca="1" si="696"/>
        <v>0</v>
      </c>
      <c r="BS117" s="97">
        <f t="shared" ca="1" si="668"/>
        <v>0</v>
      </c>
      <c r="BT117" s="151">
        <f t="shared" ca="1" si="697"/>
        <v>0</v>
      </c>
      <c r="BU117" s="188">
        <f t="shared" ca="1" si="698"/>
        <v>0</v>
      </c>
      <c r="BV117" s="144"/>
      <c r="BW117" s="126">
        <f t="shared" ca="1" si="669"/>
        <v>0</v>
      </c>
      <c r="BX117" s="126"/>
      <c r="BY117" s="97">
        <f t="shared" ca="1" si="699"/>
        <v>0</v>
      </c>
      <c r="BZ117" s="97">
        <f t="shared" ca="1" si="670"/>
        <v>0</v>
      </c>
      <c r="CA117" s="151">
        <f t="shared" ca="1" si="700"/>
        <v>0</v>
      </c>
      <c r="CB117" s="188">
        <f t="shared" ca="1" si="701"/>
        <v>0</v>
      </c>
      <c r="CC117" s="144"/>
      <c r="CD117" s="126">
        <f t="shared" ca="1" si="702"/>
        <v>0</v>
      </c>
      <c r="CE117" s="126"/>
      <c r="CF117" s="97">
        <f t="shared" ca="1" si="703"/>
        <v>0</v>
      </c>
      <c r="CG117" s="97">
        <f t="shared" ca="1" si="671"/>
        <v>0</v>
      </c>
      <c r="CH117" s="151">
        <f t="shared" ca="1" si="704"/>
        <v>0</v>
      </c>
      <c r="CI117" s="188">
        <f t="shared" ca="1" si="705"/>
        <v>0</v>
      </c>
      <c r="CJ117" s="5"/>
      <c r="CK117" s="5"/>
      <c r="CL117" s="5"/>
    </row>
    <row r="118" spans="1:90" s="6" customFormat="1">
      <c r="A118" s="290" t="s">
        <v>443</v>
      </c>
      <c r="B118" s="63">
        <v>51953005</v>
      </c>
      <c r="C118" s="134">
        <f t="shared" ca="1" si="652"/>
        <v>10000</v>
      </c>
      <c r="D118" s="78"/>
      <c r="E118" s="126">
        <f ca="1">$C118/COUNTA(E$1:$CI$1)</f>
        <v>833.33333333333337</v>
      </c>
      <c r="F118" s="126"/>
      <c r="G118" s="104">
        <f t="shared" ref="G118" ca="1" si="708">IFERROR(I118,0)</f>
        <v>5000</v>
      </c>
      <c r="H118" s="98">
        <f t="shared" ref="H118" ca="1" si="709">IFERROR(E118,0)</f>
        <v>833.33333333333337</v>
      </c>
      <c r="I118" s="57">
        <f t="shared" ref="I118" ca="1" si="710">IFERROR(IFERROR(VLOOKUP(TEXT($B118,0),INDIRECT("'Balance a "&amp;LEFT(E$1,3)&amp;"'!$B$3:$G$300"),4,0),VLOOKUP(VALUE($B118),INDIRECT("'Balance a "&amp;LEFT(E$1,3)&amp;"'!$B$3:$G$300"),4,0)),0)</f>
        <v>5000</v>
      </c>
      <c r="J118" s="188">
        <f t="shared" ref="J118" ca="1" si="711">IFERROR(G118-E118,0)</f>
        <v>4166.666666666667</v>
      </c>
      <c r="K118" s="70"/>
      <c r="L118" s="126">
        <f t="shared" ca="1" si="312"/>
        <v>833.33333333333337</v>
      </c>
      <c r="M118" s="126"/>
      <c r="N118" s="97">
        <f t="shared" ca="1" si="672"/>
        <v>0</v>
      </c>
      <c r="O118" s="98">
        <f t="shared" ca="1" si="673"/>
        <v>1666.6666666666667</v>
      </c>
      <c r="P118" s="151">
        <f t="shared" ca="1" si="674"/>
        <v>5000</v>
      </c>
      <c r="Q118" s="188">
        <f t="shared" ca="1" si="675"/>
        <v>833.33333333333337</v>
      </c>
      <c r="R118" s="70"/>
      <c r="S118" s="126">
        <f t="shared" ca="1" si="653"/>
        <v>833.33333333333337</v>
      </c>
      <c r="T118" s="126"/>
      <c r="U118" s="97">
        <f t="shared" ca="1" si="676"/>
        <v>0</v>
      </c>
      <c r="V118" s="97">
        <f t="shared" ca="1" si="654"/>
        <v>2500</v>
      </c>
      <c r="W118" s="151">
        <f t="shared" ca="1" si="677"/>
        <v>5000</v>
      </c>
      <c r="X118" s="188">
        <f t="shared" ca="1" si="678"/>
        <v>833.33333333333337</v>
      </c>
      <c r="Y118" s="70"/>
      <c r="Z118" s="126">
        <f t="shared" ca="1" si="655"/>
        <v>833.33333333333337</v>
      </c>
      <c r="AA118" s="126"/>
      <c r="AB118" s="97">
        <f t="shared" ca="1" si="679"/>
        <v>0</v>
      </c>
      <c r="AC118" s="97">
        <f t="shared" ca="1" si="656"/>
        <v>3333.3333333333335</v>
      </c>
      <c r="AD118" s="151">
        <f t="shared" ca="1" si="680"/>
        <v>5000</v>
      </c>
      <c r="AE118" s="188">
        <f t="shared" ca="1" si="681"/>
        <v>833.33333333333337</v>
      </c>
      <c r="AF118" s="70"/>
      <c r="AG118" s="126">
        <f t="shared" ca="1" si="657"/>
        <v>833.33333333333337</v>
      </c>
      <c r="AH118" s="126"/>
      <c r="AI118" s="97">
        <f t="shared" ca="1" si="682"/>
        <v>0</v>
      </c>
      <c r="AJ118" s="97">
        <f t="shared" ca="1" si="658"/>
        <v>4166.666666666667</v>
      </c>
      <c r="AK118" s="151">
        <f t="shared" ca="1" si="683"/>
        <v>5000</v>
      </c>
      <c r="AL118" s="188">
        <f t="shared" ca="1" si="684"/>
        <v>833.33333333333337</v>
      </c>
      <c r="AM118" s="70"/>
      <c r="AN118" s="126">
        <f t="shared" ca="1" si="659"/>
        <v>833.33333333333337</v>
      </c>
      <c r="AO118" s="126"/>
      <c r="AP118" s="97">
        <f t="shared" ca="1" si="685"/>
        <v>0</v>
      </c>
      <c r="AQ118" s="97">
        <f t="shared" ca="1" si="660"/>
        <v>5000</v>
      </c>
      <c r="AR118" s="151">
        <f t="shared" ca="1" si="686"/>
        <v>5000</v>
      </c>
      <c r="AS118" s="188">
        <f t="shared" ca="1" si="687"/>
        <v>833.33333333333337</v>
      </c>
      <c r="AT118" s="70"/>
      <c r="AU118" s="126">
        <f t="shared" ca="1" si="661"/>
        <v>833.33333333333337</v>
      </c>
      <c r="AV118" s="126"/>
      <c r="AW118" s="97">
        <f t="shared" ca="1" si="688"/>
        <v>0</v>
      </c>
      <c r="AX118" s="126">
        <f t="shared" ca="1" si="662"/>
        <v>5833.333333333333</v>
      </c>
      <c r="AY118" s="151">
        <f t="shared" ca="1" si="689"/>
        <v>5000</v>
      </c>
      <c r="AZ118" s="188">
        <f t="shared" ca="1" si="690"/>
        <v>833.33333333333337</v>
      </c>
      <c r="BA118" s="144"/>
      <c r="BB118" s="126">
        <f t="shared" ca="1" si="663"/>
        <v>833.33333333333337</v>
      </c>
      <c r="BC118" s="126"/>
      <c r="BD118" s="97">
        <f t="shared" ca="1" si="691"/>
        <v>0</v>
      </c>
      <c r="BE118" s="97">
        <f t="shared" ca="1" si="664"/>
        <v>6666.6666666666661</v>
      </c>
      <c r="BF118" s="151">
        <f t="shared" ca="1" si="692"/>
        <v>5000</v>
      </c>
      <c r="BG118" s="188">
        <f t="shared" ca="1" si="693"/>
        <v>833.33333333333337</v>
      </c>
      <c r="BH118" s="144"/>
      <c r="BI118" s="126">
        <f t="shared" ca="1" si="665"/>
        <v>833.33333333333337</v>
      </c>
      <c r="BJ118" s="126"/>
      <c r="BK118" s="97">
        <f t="shared" ca="1" si="651"/>
        <v>0</v>
      </c>
      <c r="BL118" s="97">
        <f t="shared" ca="1" si="666"/>
        <v>7499.9999999999991</v>
      </c>
      <c r="BM118" s="151">
        <f t="shared" ca="1" si="694"/>
        <v>0</v>
      </c>
      <c r="BN118" s="188">
        <f t="shared" ca="1" si="695"/>
        <v>833.33333333333337</v>
      </c>
      <c r="BO118" s="144"/>
      <c r="BP118" s="126">
        <f t="shared" ca="1" si="667"/>
        <v>833.33333333333337</v>
      </c>
      <c r="BQ118" s="126"/>
      <c r="BR118" s="97">
        <f t="shared" ca="1" si="696"/>
        <v>0</v>
      </c>
      <c r="BS118" s="97">
        <f t="shared" ca="1" si="668"/>
        <v>8333.3333333333321</v>
      </c>
      <c r="BT118" s="151">
        <f t="shared" ca="1" si="697"/>
        <v>0</v>
      </c>
      <c r="BU118" s="188">
        <f t="shared" ca="1" si="698"/>
        <v>833.33333333333337</v>
      </c>
      <c r="BV118" s="144"/>
      <c r="BW118" s="126">
        <f t="shared" ca="1" si="669"/>
        <v>833.33333333333337</v>
      </c>
      <c r="BX118" s="126"/>
      <c r="BY118" s="97">
        <f t="shared" ca="1" si="699"/>
        <v>0</v>
      </c>
      <c r="BZ118" s="97">
        <f t="shared" ca="1" si="670"/>
        <v>9166.6666666666661</v>
      </c>
      <c r="CA118" s="151">
        <f t="shared" ca="1" si="700"/>
        <v>0</v>
      </c>
      <c r="CB118" s="188">
        <f t="shared" ca="1" si="701"/>
        <v>833.33333333333337</v>
      </c>
      <c r="CC118" s="144"/>
      <c r="CD118" s="126">
        <f t="shared" ca="1" si="702"/>
        <v>833.33333333333337</v>
      </c>
      <c r="CE118" s="126"/>
      <c r="CF118" s="97">
        <f t="shared" ca="1" si="703"/>
        <v>0</v>
      </c>
      <c r="CG118" s="97">
        <f t="shared" ca="1" si="671"/>
        <v>10000</v>
      </c>
      <c r="CH118" s="151">
        <f t="shared" ca="1" si="704"/>
        <v>0</v>
      </c>
      <c r="CI118" s="188">
        <f t="shared" ca="1" si="705"/>
        <v>833.33333333333337</v>
      </c>
      <c r="CJ118" s="5"/>
      <c r="CK118" s="5"/>
      <c r="CL118" s="5"/>
    </row>
    <row r="119" spans="1:90" s="6" customFormat="1">
      <c r="A119" s="290" t="s">
        <v>395</v>
      </c>
      <c r="B119" s="63">
        <v>51953006</v>
      </c>
      <c r="C119" s="134">
        <f t="shared" ca="1" si="652"/>
        <v>0</v>
      </c>
      <c r="D119" s="78"/>
      <c r="E119" s="126">
        <f ca="1">$C119/COUNTA(E$1:$CI$1)</f>
        <v>0</v>
      </c>
      <c r="F119" s="126"/>
      <c r="G119" s="104">
        <f ca="1">IFERROR(I119,0)</f>
        <v>0</v>
      </c>
      <c r="H119" s="98">
        <f ca="1">IFERROR(E119,0)</f>
        <v>0</v>
      </c>
      <c r="I119" s="57">
        <f ca="1">IFERROR(IFERROR(VLOOKUP(TEXT($B119,0),INDIRECT("'Balance a "&amp;LEFT(E$1,3)&amp;"'!$B$3:$G$300"),4,0),VLOOKUP(VALUE($B119),INDIRECT("'Balance a "&amp;LEFT(E$1,3)&amp;"'!$B$3:$G$300"),4,0)),0)</f>
        <v>0</v>
      </c>
      <c r="J119" s="188">
        <f ca="1">IFERROR(G119-E119,0)</f>
        <v>0</v>
      </c>
      <c r="K119" s="70"/>
      <c r="L119" s="126">
        <f t="shared" ref="L119:L133" ca="1" si="712">E119+F119</f>
        <v>0</v>
      </c>
      <c r="M119" s="126"/>
      <c r="N119" s="97">
        <f t="shared" ca="1" si="672"/>
        <v>0</v>
      </c>
      <c r="O119" s="98">
        <f t="shared" ca="1" si="673"/>
        <v>0</v>
      </c>
      <c r="P119" s="151">
        <f t="shared" ca="1" si="674"/>
        <v>0</v>
      </c>
      <c r="Q119" s="188">
        <f t="shared" ca="1" si="675"/>
        <v>0</v>
      </c>
      <c r="R119" s="70"/>
      <c r="S119" s="126">
        <f t="shared" ca="1" si="653"/>
        <v>0</v>
      </c>
      <c r="T119" s="126"/>
      <c r="U119" s="97">
        <f t="shared" ca="1" si="676"/>
        <v>0</v>
      </c>
      <c r="V119" s="97">
        <f t="shared" ca="1" si="654"/>
        <v>0</v>
      </c>
      <c r="W119" s="151">
        <f t="shared" ca="1" si="677"/>
        <v>0</v>
      </c>
      <c r="X119" s="188">
        <f t="shared" ca="1" si="678"/>
        <v>0</v>
      </c>
      <c r="Y119" s="70"/>
      <c r="Z119" s="126">
        <f t="shared" ca="1" si="655"/>
        <v>0</v>
      </c>
      <c r="AA119" s="126"/>
      <c r="AB119" s="97">
        <f t="shared" ca="1" si="679"/>
        <v>0</v>
      </c>
      <c r="AC119" s="97">
        <f t="shared" ca="1" si="656"/>
        <v>0</v>
      </c>
      <c r="AD119" s="151">
        <f t="shared" ca="1" si="680"/>
        <v>0</v>
      </c>
      <c r="AE119" s="188">
        <f t="shared" ca="1" si="681"/>
        <v>0</v>
      </c>
      <c r="AF119" s="70"/>
      <c r="AG119" s="126">
        <f t="shared" ca="1" si="657"/>
        <v>0</v>
      </c>
      <c r="AH119" s="126"/>
      <c r="AI119" s="97">
        <f t="shared" ca="1" si="682"/>
        <v>0</v>
      </c>
      <c r="AJ119" s="97">
        <f t="shared" ca="1" si="658"/>
        <v>0</v>
      </c>
      <c r="AK119" s="151">
        <f t="shared" ca="1" si="683"/>
        <v>0</v>
      </c>
      <c r="AL119" s="188">
        <f t="shared" ca="1" si="684"/>
        <v>0</v>
      </c>
      <c r="AM119" s="70"/>
      <c r="AN119" s="126">
        <f t="shared" ca="1" si="659"/>
        <v>0</v>
      </c>
      <c r="AO119" s="126"/>
      <c r="AP119" s="97">
        <f t="shared" ca="1" si="685"/>
        <v>0</v>
      </c>
      <c r="AQ119" s="97">
        <f t="shared" ca="1" si="660"/>
        <v>0</v>
      </c>
      <c r="AR119" s="151">
        <f t="shared" ca="1" si="686"/>
        <v>0</v>
      </c>
      <c r="AS119" s="188">
        <f t="shared" ca="1" si="687"/>
        <v>0</v>
      </c>
      <c r="AT119" s="70"/>
      <c r="AU119" s="126">
        <f t="shared" ca="1" si="661"/>
        <v>0</v>
      </c>
      <c r="AV119" s="126"/>
      <c r="AW119" s="97">
        <f t="shared" ca="1" si="688"/>
        <v>0</v>
      </c>
      <c r="AX119" s="126">
        <f t="shared" ca="1" si="662"/>
        <v>0</v>
      </c>
      <c r="AY119" s="151">
        <f t="shared" ca="1" si="689"/>
        <v>0</v>
      </c>
      <c r="AZ119" s="188">
        <f t="shared" ca="1" si="690"/>
        <v>0</v>
      </c>
      <c r="BA119" s="144"/>
      <c r="BB119" s="126">
        <f t="shared" ca="1" si="663"/>
        <v>0</v>
      </c>
      <c r="BC119" s="126"/>
      <c r="BD119" s="97">
        <f t="shared" ca="1" si="691"/>
        <v>0</v>
      </c>
      <c r="BE119" s="97">
        <f t="shared" ca="1" si="664"/>
        <v>0</v>
      </c>
      <c r="BF119" s="151">
        <f t="shared" ca="1" si="692"/>
        <v>0</v>
      </c>
      <c r="BG119" s="188">
        <f t="shared" ca="1" si="693"/>
        <v>0</v>
      </c>
      <c r="BH119" s="144"/>
      <c r="BI119" s="126">
        <f t="shared" ca="1" si="665"/>
        <v>0</v>
      </c>
      <c r="BJ119" s="126"/>
      <c r="BK119" s="97">
        <f t="shared" ca="1" si="651"/>
        <v>0</v>
      </c>
      <c r="BL119" s="97">
        <f t="shared" ca="1" si="666"/>
        <v>0</v>
      </c>
      <c r="BM119" s="151">
        <f t="shared" ca="1" si="694"/>
        <v>0</v>
      </c>
      <c r="BN119" s="188">
        <f t="shared" ca="1" si="695"/>
        <v>0</v>
      </c>
      <c r="BO119" s="144"/>
      <c r="BP119" s="126">
        <f t="shared" ca="1" si="667"/>
        <v>0</v>
      </c>
      <c r="BQ119" s="126"/>
      <c r="BR119" s="97">
        <f t="shared" ca="1" si="696"/>
        <v>0</v>
      </c>
      <c r="BS119" s="97">
        <f t="shared" ca="1" si="668"/>
        <v>0</v>
      </c>
      <c r="BT119" s="151">
        <f t="shared" ca="1" si="697"/>
        <v>0</v>
      </c>
      <c r="BU119" s="188">
        <f t="shared" ca="1" si="698"/>
        <v>0</v>
      </c>
      <c r="BV119" s="144"/>
      <c r="BW119" s="126">
        <f t="shared" ca="1" si="669"/>
        <v>0</v>
      </c>
      <c r="BX119" s="126"/>
      <c r="BY119" s="97">
        <f t="shared" ca="1" si="699"/>
        <v>0</v>
      </c>
      <c r="BZ119" s="97">
        <f t="shared" ca="1" si="670"/>
        <v>0</v>
      </c>
      <c r="CA119" s="151">
        <f t="shared" ca="1" si="700"/>
        <v>0</v>
      </c>
      <c r="CB119" s="188">
        <f t="shared" ca="1" si="701"/>
        <v>0</v>
      </c>
      <c r="CC119" s="144"/>
      <c r="CD119" s="126">
        <f t="shared" ca="1" si="702"/>
        <v>0</v>
      </c>
      <c r="CE119" s="126"/>
      <c r="CF119" s="97">
        <f t="shared" ca="1" si="703"/>
        <v>0</v>
      </c>
      <c r="CG119" s="97">
        <f t="shared" ca="1" si="671"/>
        <v>0</v>
      </c>
      <c r="CH119" s="151">
        <f t="shared" ca="1" si="704"/>
        <v>0</v>
      </c>
      <c r="CI119" s="188">
        <f t="shared" ca="1" si="705"/>
        <v>0</v>
      </c>
      <c r="CJ119" s="5"/>
      <c r="CK119" s="5"/>
      <c r="CL119" s="5"/>
    </row>
    <row r="120" spans="1:90" s="6" customFormat="1">
      <c r="A120" s="290" t="s">
        <v>194</v>
      </c>
      <c r="B120" s="63">
        <v>51953009</v>
      </c>
      <c r="C120" s="134">
        <f t="shared" ca="1" si="652"/>
        <v>0</v>
      </c>
      <c r="D120" s="78"/>
      <c r="E120" s="126">
        <f ca="1">$C120/COUNTA(E$1:$CI$1)</f>
        <v>0</v>
      </c>
      <c r="F120" s="126"/>
      <c r="G120" s="104">
        <f t="shared" ca="1" si="706"/>
        <v>0</v>
      </c>
      <c r="H120" s="98">
        <f t="shared" ref="H120:H132" ca="1" si="713">IFERROR(E120,0)</f>
        <v>0</v>
      </c>
      <c r="I120" s="57">
        <f t="shared" ca="1" si="707"/>
        <v>0</v>
      </c>
      <c r="J120" s="188">
        <f t="shared" ref="J120:J132" ca="1" si="714">IFERROR(G120-E120,0)</f>
        <v>0</v>
      </c>
      <c r="K120" s="70"/>
      <c r="L120" s="126">
        <f t="shared" ca="1" si="712"/>
        <v>0</v>
      </c>
      <c r="M120" s="126"/>
      <c r="N120" s="97">
        <f t="shared" ca="1" si="672"/>
        <v>0</v>
      </c>
      <c r="O120" s="98">
        <f t="shared" ca="1" si="673"/>
        <v>0</v>
      </c>
      <c r="P120" s="151">
        <f t="shared" ca="1" si="674"/>
        <v>0</v>
      </c>
      <c r="Q120" s="188">
        <f t="shared" ca="1" si="675"/>
        <v>0</v>
      </c>
      <c r="R120" s="70"/>
      <c r="S120" s="126">
        <f t="shared" ca="1" si="653"/>
        <v>0</v>
      </c>
      <c r="T120" s="126"/>
      <c r="U120" s="97">
        <f t="shared" ca="1" si="676"/>
        <v>0</v>
      </c>
      <c r="V120" s="97">
        <f t="shared" ca="1" si="654"/>
        <v>0</v>
      </c>
      <c r="W120" s="151">
        <f t="shared" ca="1" si="677"/>
        <v>0</v>
      </c>
      <c r="X120" s="188">
        <f t="shared" ca="1" si="678"/>
        <v>0</v>
      </c>
      <c r="Y120" s="70"/>
      <c r="Z120" s="126">
        <f t="shared" ca="1" si="655"/>
        <v>0</v>
      </c>
      <c r="AA120" s="126"/>
      <c r="AB120" s="97">
        <f t="shared" ca="1" si="679"/>
        <v>0</v>
      </c>
      <c r="AC120" s="97">
        <f t="shared" ca="1" si="656"/>
        <v>0</v>
      </c>
      <c r="AD120" s="151">
        <f t="shared" ca="1" si="680"/>
        <v>0</v>
      </c>
      <c r="AE120" s="188">
        <f t="shared" ca="1" si="681"/>
        <v>0</v>
      </c>
      <c r="AF120" s="70"/>
      <c r="AG120" s="126">
        <f t="shared" ca="1" si="657"/>
        <v>0</v>
      </c>
      <c r="AH120" s="126"/>
      <c r="AI120" s="97">
        <f t="shared" ca="1" si="682"/>
        <v>0</v>
      </c>
      <c r="AJ120" s="97">
        <f t="shared" ca="1" si="658"/>
        <v>0</v>
      </c>
      <c r="AK120" s="151">
        <f t="shared" ca="1" si="683"/>
        <v>0</v>
      </c>
      <c r="AL120" s="188">
        <f t="shared" ca="1" si="684"/>
        <v>0</v>
      </c>
      <c r="AM120" s="70"/>
      <c r="AN120" s="126">
        <f t="shared" ca="1" si="659"/>
        <v>0</v>
      </c>
      <c r="AO120" s="126"/>
      <c r="AP120" s="97">
        <f t="shared" ca="1" si="685"/>
        <v>0</v>
      </c>
      <c r="AQ120" s="97">
        <f t="shared" ca="1" si="660"/>
        <v>0</v>
      </c>
      <c r="AR120" s="151">
        <f t="shared" ca="1" si="686"/>
        <v>0</v>
      </c>
      <c r="AS120" s="188">
        <f t="shared" ca="1" si="687"/>
        <v>0</v>
      </c>
      <c r="AT120" s="70"/>
      <c r="AU120" s="126">
        <f t="shared" ca="1" si="661"/>
        <v>0</v>
      </c>
      <c r="AV120" s="126"/>
      <c r="AW120" s="97">
        <f t="shared" ca="1" si="688"/>
        <v>0</v>
      </c>
      <c r="AX120" s="126">
        <f t="shared" ca="1" si="662"/>
        <v>0</v>
      </c>
      <c r="AY120" s="151">
        <f t="shared" ca="1" si="689"/>
        <v>0</v>
      </c>
      <c r="AZ120" s="188">
        <f t="shared" ca="1" si="690"/>
        <v>0</v>
      </c>
      <c r="BA120" s="144"/>
      <c r="BB120" s="126">
        <f t="shared" ca="1" si="663"/>
        <v>0</v>
      </c>
      <c r="BC120" s="126"/>
      <c r="BD120" s="97">
        <f t="shared" ca="1" si="691"/>
        <v>0</v>
      </c>
      <c r="BE120" s="97">
        <f t="shared" ca="1" si="664"/>
        <v>0</v>
      </c>
      <c r="BF120" s="151">
        <f t="shared" ca="1" si="692"/>
        <v>0</v>
      </c>
      <c r="BG120" s="188">
        <f t="shared" ca="1" si="693"/>
        <v>0</v>
      </c>
      <c r="BH120" s="144"/>
      <c r="BI120" s="126">
        <f t="shared" ca="1" si="665"/>
        <v>0</v>
      </c>
      <c r="BJ120" s="126"/>
      <c r="BK120" s="97">
        <f t="shared" ca="1" si="651"/>
        <v>0</v>
      </c>
      <c r="BL120" s="97">
        <f t="shared" ca="1" si="666"/>
        <v>0</v>
      </c>
      <c r="BM120" s="151">
        <f t="shared" ca="1" si="694"/>
        <v>0</v>
      </c>
      <c r="BN120" s="188">
        <f t="shared" ca="1" si="695"/>
        <v>0</v>
      </c>
      <c r="BO120" s="144"/>
      <c r="BP120" s="126">
        <f t="shared" ca="1" si="667"/>
        <v>0</v>
      </c>
      <c r="BQ120" s="126"/>
      <c r="BR120" s="97">
        <f t="shared" ca="1" si="696"/>
        <v>0</v>
      </c>
      <c r="BS120" s="97">
        <f t="shared" ca="1" si="668"/>
        <v>0</v>
      </c>
      <c r="BT120" s="151">
        <f t="shared" ca="1" si="697"/>
        <v>0</v>
      </c>
      <c r="BU120" s="188">
        <f t="shared" ca="1" si="698"/>
        <v>0</v>
      </c>
      <c r="BV120" s="144"/>
      <c r="BW120" s="126">
        <f t="shared" ca="1" si="669"/>
        <v>0</v>
      </c>
      <c r="BX120" s="126"/>
      <c r="BY120" s="97">
        <f t="shared" ca="1" si="699"/>
        <v>0</v>
      </c>
      <c r="BZ120" s="97">
        <f t="shared" ca="1" si="670"/>
        <v>0</v>
      </c>
      <c r="CA120" s="151">
        <f t="shared" ca="1" si="700"/>
        <v>0</v>
      </c>
      <c r="CB120" s="188">
        <f t="shared" ca="1" si="701"/>
        <v>0</v>
      </c>
      <c r="CC120" s="144"/>
      <c r="CD120" s="126">
        <f t="shared" ca="1" si="702"/>
        <v>0</v>
      </c>
      <c r="CE120" s="126"/>
      <c r="CF120" s="97">
        <f t="shared" ca="1" si="703"/>
        <v>0</v>
      </c>
      <c r="CG120" s="97">
        <f t="shared" ca="1" si="671"/>
        <v>0</v>
      </c>
      <c r="CH120" s="151">
        <f t="shared" ca="1" si="704"/>
        <v>0</v>
      </c>
      <c r="CI120" s="188">
        <f t="shared" ca="1" si="705"/>
        <v>0</v>
      </c>
      <c r="CJ120" s="5"/>
      <c r="CK120" s="5"/>
      <c r="CL120" s="5"/>
    </row>
    <row r="121" spans="1:90" s="6" customFormat="1">
      <c r="A121" s="290" t="s">
        <v>106</v>
      </c>
      <c r="B121" s="63">
        <v>51953501</v>
      </c>
      <c r="C121" s="134">
        <f t="shared" ca="1" si="652"/>
        <v>4506469.82</v>
      </c>
      <c r="D121" s="78"/>
      <c r="E121" s="126">
        <v>500000</v>
      </c>
      <c r="F121" s="126"/>
      <c r="G121" s="104">
        <f t="shared" ca="1" si="706"/>
        <v>341781</v>
      </c>
      <c r="H121" s="98">
        <f t="shared" si="713"/>
        <v>500000</v>
      </c>
      <c r="I121" s="57">
        <f t="shared" ca="1" si="707"/>
        <v>341781</v>
      </c>
      <c r="J121" s="188">
        <f t="shared" ca="1" si="714"/>
        <v>-158219</v>
      </c>
      <c r="K121" s="70"/>
      <c r="L121" s="126">
        <f t="shared" si="712"/>
        <v>500000</v>
      </c>
      <c r="M121" s="126"/>
      <c r="N121" s="97">
        <f t="shared" ca="1" si="672"/>
        <v>341179</v>
      </c>
      <c r="O121" s="98">
        <f t="shared" si="673"/>
        <v>1000000</v>
      </c>
      <c r="P121" s="151">
        <f t="shared" ca="1" si="674"/>
        <v>682960</v>
      </c>
      <c r="Q121" s="188">
        <f t="shared" ca="1" si="675"/>
        <v>158821</v>
      </c>
      <c r="R121" s="70"/>
      <c r="S121" s="126">
        <f t="shared" si="653"/>
        <v>500000</v>
      </c>
      <c r="T121" s="126"/>
      <c r="U121" s="97">
        <f t="shared" ca="1" si="676"/>
        <v>535727</v>
      </c>
      <c r="V121" s="97">
        <f t="shared" si="654"/>
        <v>1500000</v>
      </c>
      <c r="W121" s="151">
        <f t="shared" ca="1" si="677"/>
        <v>1218687</v>
      </c>
      <c r="X121" s="188">
        <f t="shared" ca="1" si="678"/>
        <v>-35727</v>
      </c>
      <c r="Y121" s="70"/>
      <c r="Z121" s="126">
        <f t="shared" si="655"/>
        <v>500000</v>
      </c>
      <c r="AA121" s="126"/>
      <c r="AB121" s="97">
        <f t="shared" ca="1" si="679"/>
        <v>227407</v>
      </c>
      <c r="AC121" s="97">
        <f t="shared" si="656"/>
        <v>2000000</v>
      </c>
      <c r="AD121" s="151">
        <f t="shared" ca="1" si="680"/>
        <v>1446094</v>
      </c>
      <c r="AE121" s="188">
        <f t="shared" ca="1" si="681"/>
        <v>272593</v>
      </c>
      <c r="AF121" s="70"/>
      <c r="AG121" s="126">
        <f t="shared" si="657"/>
        <v>500000</v>
      </c>
      <c r="AH121" s="126"/>
      <c r="AI121" s="97">
        <f t="shared" ca="1" si="682"/>
        <v>448139.90999999992</v>
      </c>
      <c r="AJ121" s="97">
        <f t="shared" si="658"/>
        <v>2500000</v>
      </c>
      <c r="AK121" s="151">
        <f t="shared" ca="1" si="683"/>
        <v>1894233.91</v>
      </c>
      <c r="AL121" s="188">
        <f t="shared" ca="1" si="684"/>
        <v>51860.090000000084</v>
      </c>
      <c r="AM121" s="70"/>
      <c r="AN121" s="126">
        <f t="shared" si="659"/>
        <v>500000</v>
      </c>
      <c r="AO121" s="126"/>
      <c r="AP121" s="97">
        <f t="shared" ca="1" si="685"/>
        <v>359001.00000000023</v>
      </c>
      <c r="AQ121" s="97">
        <f t="shared" si="660"/>
        <v>3000000</v>
      </c>
      <c r="AR121" s="151">
        <f t="shared" ca="1" si="686"/>
        <v>2253234.91</v>
      </c>
      <c r="AS121" s="188">
        <f t="shared" ca="1" si="687"/>
        <v>140998.99999999977</v>
      </c>
      <c r="AT121" s="70"/>
      <c r="AU121" s="126">
        <f t="shared" si="661"/>
        <v>500000</v>
      </c>
      <c r="AV121" s="126"/>
      <c r="AW121" s="97">
        <f t="shared" ca="1" si="688"/>
        <v>206424</v>
      </c>
      <c r="AX121" s="126">
        <f t="shared" si="662"/>
        <v>3500000</v>
      </c>
      <c r="AY121" s="151">
        <f t="shared" ca="1" si="689"/>
        <v>2459658.91</v>
      </c>
      <c r="AZ121" s="188">
        <f t="shared" ca="1" si="690"/>
        <v>293576</v>
      </c>
      <c r="BA121" s="144"/>
      <c r="BB121" s="126">
        <f t="shared" si="663"/>
        <v>500000</v>
      </c>
      <c r="BC121" s="126"/>
      <c r="BD121" s="97">
        <f t="shared" ca="1" si="691"/>
        <v>230132</v>
      </c>
      <c r="BE121" s="97">
        <f t="shared" si="664"/>
        <v>4000000</v>
      </c>
      <c r="BF121" s="151">
        <f t="shared" ca="1" si="692"/>
        <v>2689790.91</v>
      </c>
      <c r="BG121" s="188">
        <f t="shared" ca="1" si="693"/>
        <v>269868</v>
      </c>
      <c r="BH121" s="144"/>
      <c r="BI121" s="126">
        <f t="shared" si="665"/>
        <v>500000</v>
      </c>
      <c r="BJ121" s="126"/>
      <c r="BK121" s="97">
        <f t="shared" ca="1" si="651"/>
        <v>0</v>
      </c>
      <c r="BL121" s="97">
        <f t="shared" si="666"/>
        <v>4500000</v>
      </c>
      <c r="BM121" s="151">
        <f t="shared" ca="1" si="694"/>
        <v>0</v>
      </c>
      <c r="BN121" s="188">
        <f t="shared" ca="1" si="695"/>
        <v>500000</v>
      </c>
      <c r="BO121" s="144"/>
      <c r="BP121" s="126">
        <f t="shared" si="667"/>
        <v>500000</v>
      </c>
      <c r="BQ121" s="126"/>
      <c r="BR121" s="97">
        <f t="shared" ca="1" si="696"/>
        <v>0</v>
      </c>
      <c r="BS121" s="97">
        <f t="shared" si="668"/>
        <v>5000000</v>
      </c>
      <c r="BT121" s="151">
        <f t="shared" ca="1" si="697"/>
        <v>0</v>
      </c>
      <c r="BU121" s="188">
        <f t="shared" ca="1" si="698"/>
        <v>500000</v>
      </c>
      <c r="BV121" s="144"/>
      <c r="BW121" s="126">
        <f t="shared" si="669"/>
        <v>500000</v>
      </c>
      <c r="BX121" s="126"/>
      <c r="BY121" s="97">
        <f t="shared" ca="1" si="699"/>
        <v>0</v>
      </c>
      <c r="BZ121" s="97">
        <f t="shared" si="670"/>
        <v>5500000</v>
      </c>
      <c r="CA121" s="151">
        <f t="shared" ca="1" si="700"/>
        <v>0</v>
      </c>
      <c r="CB121" s="188">
        <f t="shared" ca="1" si="701"/>
        <v>500000</v>
      </c>
      <c r="CC121" s="144"/>
      <c r="CD121" s="126">
        <f t="shared" si="702"/>
        <v>500000</v>
      </c>
      <c r="CE121" s="126"/>
      <c r="CF121" s="97">
        <f t="shared" ca="1" si="703"/>
        <v>0</v>
      </c>
      <c r="CG121" s="97">
        <f t="shared" si="671"/>
        <v>6000000</v>
      </c>
      <c r="CH121" s="151">
        <f t="shared" ca="1" si="704"/>
        <v>0</v>
      </c>
      <c r="CI121" s="188">
        <f t="shared" ca="1" si="705"/>
        <v>500000</v>
      </c>
      <c r="CJ121" s="5"/>
      <c r="CK121" s="5"/>
      <c r="CL121" s="5"/>
    </row>
    <row r="122" spans="1:90" s="6" customFormat="1">
      <c r="A122" s="290" t="s">
        <v>396</v>
      </c>
      <c r="B122" s="63">
        <v>51953503</v>
      </c>
      <c r="C122" s="134">
        <f t="shared" ca="1" si="652"/>
        <v>0</v>
      </c>
      <c r="D122" s="78"/>
      <c r="E122" s="126">
        <f ca="1">$C122/COUNTA(E$1:$CI$1)</f>
        <v>0</v>
      </c>
      <c r="F122" s="126"/>
      <c r="G122" s="104">
        <f ca="1">IFERROR(I122,0)</f>
        <v>0</v>
      </c>
      <c r="H122" s="98">
        <f ca="1">IFERROR(E122,0)</f>
        <v>0</v>
      </c>
      <c r="I122" s="57">
        <f ca="1">IFERROR(IFERROR(VLOOKUP(TEXT($B122,0),INDIRECT("'Balance a "&amp;LEFT(E$1,3)&amp;"'!$B$3:$G$300"),4,0),VLOOKUP(VALUE($B122),INDIRECT("'Balance a "&amp;LEFT(E$1,3)&amp;"'!$B$3:$G$300"),4,0)),0)</f>
        <v>0</v>
      </c>
      <c r="J122" s="188">
        <f ca="1">IFERROR(G122-E122,0)</f>
        <v>0</v>
      </c>
      <c r="K122" s="70"/>
      <c r="L122" s="126">
        <f t="shared" ca="1" si="712"/>
        <v>0</v>
      </c>
      <c r="M122" s="126"/>
      <c r="N122" s="97">
        <f t="shared" ca="1" si="672"/>
        <v>0</v>
      </c>
      <c r="O122" s="98">
        <f t="shared" ca="1" si="673"/>
        <v>0</v>
      </c>
      <c r="P122" s="151">
        <f t="shared" ca="1" si="674"/>
        <v>0</v>
      </c>
      <c r="Q122" s="188">
        <f t="shared" ca="1" si="675"/>
        <v>0</v>
      </c>
      <c r="R122" s="70"/>
      <c r="S122" s="126">
        <f t="shared" ca="1" si="653"/>
        <v>0</v>
      </c>
      <c r="T122" s="126"/>
      <c r="U122" s="97">
        <f t="shared" ca="1" si="676"/>
        <v>0</v>
      </c>
      <c r="V122" s="97">
        <f t="shared" ca="1" si="654"/>
        <v>0</v>
      </c>
      <c r="W122" s="151">
        <f t="shared" ca="1" si="677"/>
        <v>0</v>
      </c>
      <c r="X122" s="188">
        <f t="shared" ca="1" si="678"/>
        <v>0</v>
      </c>
      <c r="Y122" s="70"/>
      <c r="Z122" s="126">
        <f t="shared" ca="1" si="655"/>
        <v>0</v>
      </c>
      <c r="AA122" s="126"/>
      <c r="AB122" s="97">
        <f t="shared" ca="1" si="679"/>
        <v>0</v>
      </c>
      <c r="AC122" s="97">
        <f t="shared" ca="1" si="656"/>
        <v>0</v>
      </c>
      <c r="AD122" s="151">
        <f t="shared" ca="1" si="680"/>
        <v>0</v>
      </c>
      <c r="AE122" s="188">
        <f t="shared" ca="1" si="681"/>
        <v>0</v>
      </c>
      <c r="AF122" s="70"/>
      <c r="AG122" s="126">
        <f t="shared" ca="1" si="657"/>
        <v>0</v>
      </c>
      <c r="AH122" s="126"/>
      <c r="AI122" s="97">
        <f t="shared" ca="1" si="682"/>
        <v>0</v>
      </c>
      <c r="AJ122" s="97">
        <f t="shared" ca="1" si="658"/>
        <v>0</v>
      </c>
      <c r="AK122" s="151">
        <f t="shared" ca="1" si="683"/>
        <v>0</v>
      </c>
      <c r="AL122" s="188">
        <f t="shared" ca="1" si="684"/>
        <v>0</v>
      </c>
      <c r="AM122" s="70"/>
      <c r="AN122" s="126">
        <f t="shared" ca="1" si="659"/>
        <v>0</v>
      </c>
      <c r="AO122" s="126"/>
      <c r="AP122" s="97">
        <f t="shared" ca="1" si="685"/>
        <v>0</v>
      </c>
      <c r="AQ122" s="97">
        <f t="shared" ca="1" si="660"/>
        <v>0</v>
      </c>
      <c r="AR122" s="151">
        <f t="shared" ca="1" si="686"/>
        <v>0</v>
      </c>
      <c r="AS122" s="188">
        <f t="shared" ca="1" si="687"/>
        <v>0</v>
      </c>
      <c r="AT122" s="70"/>
      <c r="AU122" s="126">
        <f t="shared" ca="1" si="661"/>
        <v>0</v>
      </c>
      <c r="AV122" s="126"/>
      <c r="AW122" s="97">
        <f t="shared" ca="1" si="688"/>
        <v>0</v>
      </c>
      <c r="AX122" s="126">
        <f t="shared" ca="1" si="662"/>
        <v>0</v>
      </c>
      <c r="AY122" s="151">
        <f t="shared" ca="1" si="689"/>
        <v>0</v>
      </c>
      <c r="AZ122" s="188">
        <f t="shared" ca="1" si="690"/>
        <v>0</v>
      </c>
      <c r="BA122" s="144"/>
      <c r="BB122" s="126">
        <f t="shared" ca="1" si="663"/>
        <v>0</v>
      </c>
      <c r="BC122" s="126"/>
      <c r="BD122" s="97">
        <f t="shared" ca="1" si="691"/>
        <v>0</v>
      </c>
      <c r="BE122" s="97">
        <f t="shared" ca="1" si="664"/>
        <v>0</v>
      </c>
      <c r="BF122" s="151">
        <f t="shared" ca="1" si="692"/>
        <v>0</v>
      </c>
      <c r="BG122" s="188">
        <f t="shared" ca="1" si="693"/>
        <v>0</v>
      </c>
      <c r="BH122" s="144"/>
      <c r="BI122" s="126">
        <f t="shared" ca="1" si="665"/>
        <v>0</v>
      </c>
      <c r="BJ122" s="126"/>
      <c r="BK122" s="97">
        <f t="shared" ca="1" si="651"/>
        <v>0</v>
      </c>
      <c r="BL122" s="97">
        <f t="shared" ca="1" si="666"/>
        <v>0</v>
      </c>
      <c r="BM122" s="151">
        <f t="shared" ca="1" si="694"/>
        <v>0</v>
      </c>
      <c r="BN122" s="188">
        <f t="shared" ca="1" si="695"/>
        <v>0</v>
      </c>
      <c r="BO122" s="144"/>
      <c r="BP122" s="126">
        <f t="shared" ca="1" si="667"/>
        <v>0</v>
      </c>
      <c r="BQ122" s="126"/>
      <c r="BR122" s="97">
        <f t="shared" ca="1" si="696"/>
        <v>0</v>
      </c>
      <c r="BS122" s="97">
        <f t="shared" ca="1" si="668"/>
        <v>0</v>
      </c>
      <c r="BT122" s="151">
        <f t="shared" ca="1" si="697"/>
        <v>0</v>
      </c>
      <c r="BU122" s="188">
        <f t="shared" ca="1" si="698"/>
        <v>0</v>
      </c>
      <c r="BV122" s="144"/>
      <c r="BW122" s="126">
        <f t="shared" ca="1" si="669"/>
        <v>0</v>
      </c>
      <c r="BX122" s="126"/>
      <c r="BY122" s="97">
        <f t="shared" ca="1" si="699"/>
        <v>0</v>
      </c>
      <c r="BZ122" s="97">
        <f t="shared" ca="1" si="670"/>
        <v>0</v>
      </c>
      <c r="CA122" s="151">
        <f t="shared" ca="1" si="700"/>
        <v>0</v>
      </c>
      <c r="CB122" s="188">
        <f t="shared" ca="1" si="701"/>
        <v>0</v>
      </c>
      <c r="CC122" s="144"/>
      <c r="CD122" s="126">
        <f t="shared" ca="1" si="702"/>
        <v>0</v>
      </c>
      <c r="CE122" s="126"/>
      <c r="CF122" s="97">
        <f t="shared" ca="1" si="703"/>
        <v>0</v>
      </c>
      <c r="CG122" s="97">
        <f t="shared" ca="1" si="671"/>
        <v>0</v>
      </c>
      <c r="CH122" s="151">
        <f t="shared" ca="1" si="704"/>
        <v>0</v>
      </c>
      <c r="CI122" s="188">
        <f t="shared" ca="1" si="705"/>
        <v>0</v>
      </c>
      <c r="CJ122" s="5"/>
      <c r="CK122" s="5"/>
      <c r="CL122" s="5"/>
    </row>
    <row r="123" spans="1:90" s="6" customFormat="1">
      <c r="A123" s="290" t="s">
        <v>169</v>
      </c>
      <c r="B123" s="63">
        <v>51954001</v>
      </c>
      <c r="C123" s="134">
        <f t="shared" ca="1" si="652"/>
        <v>19857.080000000002</v>
      </c>
      <c r="D123" s="78"/>
      <c r="E123" s="126">
        <f ca="1">$C123/COUNTA(E$1:$CI$1)</f>
        <v>1654.7566666666669</v>
      </c>
      <c r="F123" s="126"/>
      <c r="G123" s="104">
        <f t="shared" ca="1" si="706"/>
        <v>197.54</v>
      </c>
      <c r="H123" s="98">
        <f t="shared" ca="1" si="713"/>
        <v>1654.7566666666669</v>
      </c>
      <c r="I123" s="57">
        <f t="shared" ca="1" si="707"/>
        <v>197.54</v>
      </c>
      <c r="J123" s="188">
        <f t="shared" ca="1" si="714"/>
        <v>-1457.2166666666669</v>
      </c>
      <c r="K123" s="70"/>
      <c r="L123" s="126">
        <f t="shared" ca="1" si="712"/>
        <v>1654.7566666666669</v>
      </c>
      <c r="M123" s="126"/>
      <c r="N123" s="97">
        <f t="shared" ca="1" si="672"/>
        <v>7613</v>
      </c>
      <c r="O123" s="98">
        <f t="shared" ca="1" si="673"/>
        <v>3309.5133333333338</v>
      </c>
      <c r="P123" s="151">
        <f t="shared" ca="1" si="674"/>
        <v>7810.54</v>
      </c>
      <c r="Q123" s="188">
        <f t="shared" ca="1" si="675"/>
        <v>-5958.2433333333329</v>
      </c>
      <c r="R123" s="70"/>
      <c r="S123" s="126">
        <f t="shared" ca="1" si="653"/>
        <v>1654.7566666666669</v>
      </c>
      <c r="T123" s="126"/>
      <c r="U123" s="97">
        <f t="shared" ca="1" si="676"/>
        <v>2000.0000000000009</v>
      </c>
      <c r="V123" s="97">
        <f t="shared" ca="1" si="654"/>
        <v>4964.2700000000004</v>
      </c>
      <c r="W123" s="151">
        <f t="shared" ca="1" si="677"/>
        <v>9810.5400000000009</v>
      </c>
      <c r="X123" s="188">
        <f t="shared" ca="1" si="678"/>
        <v>-345.24333333333402</v>
      </c>
      <c r="Y123" s="70"/>
      <c r="Z123" s="126">
        <f t="shared" ca="1" si="655"/>
        <v>1654.7566666666669</v>
      </c>
      <c r="AA123" s="126"/>
      <c r="AB123" s="97">
        <f t="shared" ca="1" si="679"/>
        <v>53</v>
      </c>
      <c r="AC123" s="97">
        <f t="shared" ca="1" si="656"/>
        <v>6619.0266666666676</v>
      </c>
      <c r="AD123" s="151">
        <f t="shared" ca="1" si="680"/>
        <v>9863.5400000000009</v>
      </c>
      <c r="AE123" s="188">
        <f t="shared" ca="1" si="681"/>
        <v>1601.7566666666669</v>
      </c>
      <c r="AF123" s="70"/>
      <c r="AG123" s="126">
        <f t="shared" ca="1" si="657"/>
        <v>1654.7566666666669</v>
      </c>
      <c r="AH123" s="126"/>
      <c r="AI123" s="97">
        <f t="shared" ca="1" si="682"/>
        <v>65</v>
      </c>
      <c r="AJ123" s="97">
        <f t="shared" ca="1" si="658"/>
        <v>8273.7833333333347</v>
      </c>
      <c r="AK123" s="151">
        <f t="shared" ca="1" si="683"/>
        <v>9928.5400000000009</v>
      </c>
      <c r="AL123" s="188">
        <f t="shared" ca="1" si="684"/>
        <v>1589.7566666666669</v>
      </c>
      <c r="AM123" s="70"/>
      <c r="AN123" s="126">
        <f t="shared" ca="1" si="659"/>
        <v>1654.7566666666669</v>
      </c>
      <c r="AO123" s="126"/>
      <c r="AP123" s="97">
        <f t="shared" ca="1" si="685"/>
        <v>0</v>
      </c>
      <c r="AQ123" s="97">
        <f t="shared" ca="1" si="660"/>
        <v>9928.5400000000009</v>
      </c>
      <c r="AR123" s="151">
        <f t="shared" ca="1" si="686"/>
        <v>9928.5400000000009</v>
      </c>
      <c r="AS123" s="188">
        <f t="shared" ca="1" si="687"/>
        <v>1654.7566666666669</v>
      </c>
      <c r="AT123" s="70"/>
      <c r="AU123" s="126">
        <f t="shared" ca="1" si="661"/>
        <v>1654.7566666666669</v>
      </c>
      <c r="AV123" s="126"/>
      <c r="AW123" s="97">
        <f t="shared" ca="1" si="688"/>
        <v>0</v>
      </c>
      <c r="AX123" s="126">
        <f t="shared" ca="1" si="662"/>
        <v>11583.296666666667</v>
      </c>
      <c r="AY123" s="151">
        <f t="shared" ca="1" si="689"/>
        <v>9928.5400000000009</v>
      </c>
      <c r="AZ123" s="188">
        <f t="shared" ca="1" si="690"/>
        <v>1654.7566666666669</v>
      </c>
      <c r="BA123" s="144"/>
      <c r="BB123" s="126">
        <f t="shared" ca="1" si="663"/>
        <v>1654.7566666666669</v>
      </c>
      <c r="BC123" s="126"/>
      <c r="BD123" s="97">
        <f t="shared" ca="1" si="691"/>
        <v>0</v>
      </c>
      <c r="BE123" s="97">
        <f t="shared" ca="1" si="664"/>
        <v>13238.053333333333</v>
      </c>
      <c r="BF123" s="151">
        <f t="shared" ca="1" si="692"/>
        <v>9928.5400000000009</v>
      </c>
      <c r="BG123" s="188">
        <f t="shared" ca="1" si="693"/>
        <v>1654.7566666666669</v>
      </c>
      <c r="BH123" s="144"/>
      <c r="BI123" s="126">
        <f t="shared" ca="1" si="665"/>
        <v>1654.7566666666669</v>
      </c>
      <c r="BJ123" s="126"/>
      <c r="BK123" s="97">
        <f t="shared" ca="1" si="651"/>
        <v>0</v>
      </c>
      <c r="BL123" s="97">
        <f t="shared" ca="1" si="666"/>
        <v>14892.81</v>
      </c>
      <c r="BM123" s="151">
        <f t="shared" ca="1" si="694"/>
        <v>0</v>
      </c>
      <c r="BN123" s="188">
        <f t="shared" ca="1" si="695"/>
        <v>1654.7566666666669</v>
      </c>
      <c r="BO123" s="144"/>
      <c r="BP123" s="126">
        <f t="shared" ca="1" si="667"/>
        <v>1654.7566666666669</v>
      </c>
      <c r="BQ123" s="126"/>
      <c r="BR123" s="97">
        <f t="shared" ca="1" si="696"/>
        <v>0</v>
      </c>
      <c r="BS123" s="97">
        <f t="shared" ca="1" si="668"/>
        <v>16547.566666666666</v>
      </c>
      <c r="BT123" s="151">
        <f t="shared" ca="1" si="697"/>
        <v>0</v>
      </c>
      <c r="BU123" s="188">
        <f t="shared" ca="1" si="698"/>
        <v>1654.7566666666669</v>
      </c>
      <c r="BV123" s="144"/>
      <c r="BW123" s="126">
        <f t="shared" ca="1" si="669"/>
        <v>1654.7566666666669</v>
      </c>
      <c r="BX123" s="126"/>
      <c r="BY123" s="97">
        <f t="shared" ca="1" si="699"/>
        <v>0</v>
      </c>
      <c r="BZ123" s="97">
        <f t="shared" ca="1" si="670"/>
        <v>18202.323333333334</v>
      </c>
      <c r="CA123" s="151">
        <f t="shared" ca="1" si="700"/>
        <v>0</v>
      </c>
      <c r="CB123" s="188">
        <f t="shared" ca="1" si="701"/>
        <v>1654.7566666666669</v>
      </c>
      <c r="CC123" s="144"/>
      <c r="CD123" s="126">
        <f t="shared" ca="1" si="702"/>
        <v>1654.7566666666669</v>
      </c>
      <c r="CE123" s="126"/>
      <c r="CF123" s="97">
        <f t="shared" ca="1" si="703"/>
        <v>0</v>
      </c>
      <c r="CG123" s="97">
        <f t="shared" ca="1" si="671"/>
        <v>19857.080000000002</v>
      </c>
      <c r="CH123" s="151">
        <f t="shared" ca="1" si="704"/>
        <v>0</v>
      </c>
      <c r="CI123" s="188">
        <f t="shared" ca="1" si="705"/>
        <v>1654.7566666666669</v>
      </c>
      <c r="CJ123" s="5"/>
      <c r="CK123" s="5"/>
      <c r="CL123" s="5"/>
    </row>
    <row r="124" spans="1:90" s="6" customFormat="1">
      <c r="A124" s="290" t="s">
        <v>197</v>
      </c>
      <c r="B124" s="63">
        <v>51954501</v>
      </c>
      <c r="C124" s="134">
        <f t="shared" ca="1" si="652"/>
        <v>140000</v>
      </c>
      <c r="D124" s="78"/>
      <c r="E124" s="126">
        <f ca="1">$C124/COUNTA(E$1:$CI$1)</f>
        <v>11666.666666666666</v>
      </c>
      <c r="F124" s="126"/>
      <c r="G124" s="104">
        <f t="shared" ca="1" si="706"/>
        <v>0</v>
      </c>
      <c r="H124" s="98">
        <f t="shared" ca="1" si="713"/>
        <v>11666.666666666666</v>
      </c>
      <c r="I124" s="57">
        <f t="shared" ca="1" si="707"/>
        <v>0</v>
      </c>
      <c r="J124" s="188">
        <f t="shared" ca="1" si="714"/>
        <v>-11666.666666666666</v>
      </c>
      <c r="K124" s="70"/>
      <c r="L124" s="126">
        <f t="shared" ca="1" si="712"/>
        <v>11666.666666666666</v>
      </c>
      <c r="M124" s="126"/>
      <c r="N124" s="97">
        <f t="shared" ca="1" si="672"/>
        <v>0</v>
      </c>
      <c r="O124" s="98">
        <f t="shared" ca="1" si="673"/>
        <v>23333.333333333332</v>
      </c>
      <c r="P124" s="151">
        <f t="shared" ca="1" si="674"/>
        <v>0</v>
      </c>
      <c r="Q124" s="188">
        <f t="shared" ca="1" si="675"/>
        <v>11666.666666666666</v>
      </c>
      <c r="R124" s="70"/>
      <c r="S124" s="126">
        <f t="shared" ca="1" si="653"/>
        <v>11666.666666666666</v>
      </c>
      <c r="T124" s="126"/>
      <c r="U124" s="97">
        <f t="shared" ca="1" si="676"/>
        <v>70000</v>
      </c>
      <c r="V124" s="97">
        <f t="shared" ca="1" si="654"/>
        <v>35000</v>
      </c>
      <c r="W124" s="151">
        <f t="shared" ca="1" si="677"/>
        <v>70000</v>
      </c>
      <c r="X124" s="188">
        <f t="shared" ca="1" si="678"/>
        <v>-58333.333333333336</v>
      </c>
      <c r="Y124" s="70"/>
      <c r="Z124" s="126">
        <f t="shared" ca="1" si="655"/>
        <v>11666.666666666666</v>
      </c>
      <c r="AA124" s="126"/>
      <c r="AB124" s="97">
        <f t="shared" ca="1" si="679"/>
        <v>0</v>
      </c>
      <c r="AC124" s="97">
        <f t="shared" ca="1" si="656"/>
        <v>46666.666666666664</v>
      </c>
      <c r="AD124" s="151">
        <f t="shared" ca="1" si="680"/>
        <v>70000</v>
      </c>
      <c r="AE124" s="188">
        <f t="shared" ca="1" si="681"/>
        <v>11666.666666666666</v>
      </c>
      <c r="AF124" s="70"/>
      <c r="AG124" s="126">
        <f t="shared" ca="1" si="657"/>
        <v>11666.666666666666</v>
      </c>
      <c r="AH124" s="126"/>
      <c r="AI124" s="97">
        <f t="shared" ca="1" si="682"/>
        <v>0</v>
      </c>
      <c r="AJ124" s="97">
        <f t="shared" ca="1" si="658"/>
        <v>58333.333333333328</v>
      </c>
      <c r="AK124" s="151">
        <f t="shared" ca="1" si="683"/>
        <v>70000</v>
      </c>
      <c r="AL124" s="188">
        <f t="shared" ca="1" si="684"/>
        <v>11666.666666666666</v>
      </c>
      <c r="AM124" s="70"/>
      <c r="AN124" s="126">
        <f t="shared" ca="1" si="659"/>
        <v>11666.666666666666</v>
      </c>
      <c r="AO124" s="126"/>
      <c r="AP124" s="97">
        <f t="shared" ca="1" si="685"/>
        <v>0</v>
      </c>
      <c r="AQ124" s="97">
        <f t="shared" ca="1" si="660"/>
        <v>70000</v>
      </c>
      <c r="AR124" s="151">
        <f t="shared" ca="1" si="686"/>
        <v>70000</v>
      </c>
      <c r="AS124" s="188">
        <f t="shared" ca="1" si="687"/>
        <v>11666.666666666666</v>
      </c>
      <c r="AT124" s="70"/>
      <c r="AU124" s="126">
        <f t="shared" ca="1" si="661"/>
        <v>11666.666666666666</v>
      </c>
      <c r="AV124" s="126"/>
      <c r="AW124" s="97">
        <f t="shared" ca="1" si="688"/>
        <v>0</v>
      </c>
      <c r="AX124" s="126">
        <f t="shared" ca="1" si="662"/>
        <v>81666.666666666672</v>
      </c>
      <c r="AY124" s="151">
        <f t="shared" ca="1" si="689"/>
        <v>70000</v>
      </c>
      <c r="AZ124" s="188">
        <f t="shared" ca="1" si="690"/>
        <v>11666.666666666666</v>
      </c>
      <c r="BA124" s="144"/>
      <c r="BB124" s="126">
        <f t="shared" ca="1" si="663"/>
        <v>11666.666666666666</v>
      </c>
      <c r="BC124" s="126"/>
      <c r="BD124" s="97">
        <f t="shared" ca="1" si="691"/>
        <v>0</v>
      </c>
      <c r="BE124" s="97">
        <f t="shared" ca="1" si="664"/>
        <v>93333.333333333343</v>
      </c>
      <c r="BF124" s="151">
        <f t="shared" ca="1" si="692"/>
        <v>70000</v>
      </c>
      <c r="BG124" s="188">
        <f t="shared" ca="1" si="693"/>
        <v>11666.666666666666</v>
      </c>
      <c r="BH124" s="144"/>
      <c r="BI124" s="126">
        <f t="shared" ca="1" si="665"/>
        <v>11666.666666666666</v>
      </c>
      <c r="BJ124" s="126"/>
      <c r="BK124" s="97">
        <f t="shared" ca="1" si="651"/>
        <v>0</v>
      </c>
      <c r="BL124" s="97">
        <f t="shared" ca="1" si="666"/>
        <v>105000.00000000001</v>
      </c>
      <c r="BM124" s="151">
        <f t="shared" ca="1" si="694"/>
        <v>0</v>
      </c>
      <c r="BN124" s="188">
        <f t="shared" ca="1" si="695"/>
        <v>11666.666666666666</v>
      </c>
      <c r="BO124" s="144"/>
      <c r="BP124" s="126">
        <f t="shared" ca="1" si="667"/>
        <v>11666.666666666666</v>
      </c>
      <c r="BQ124" s="126"/>
      <c r="BR124" s="97">
        <f t="shared" ca="1" si="696"/>
        <v>0</v>
      </c>
      <c r="BS124" s="97">
        <f t="shared" ca="1" si="668"/>
        <v>116666.66666666669</v>
      </c>
      <c r="BT124" s="151">
        <f t="shared" ca="1" si="697"/>
        <v>0</v>
      </c>
      <c r="BU124" s="188">
        <f t="shared" ca="1" si="698"/>
        <v>11666.666666666666</v>
      </c>
      <c r="BV124" s="144"/>
      <c r="BW124" s="126">
        <f t="shared" ca="1" si="669"/>
        <v>11666.666666666666</v>
      </c>
      <c r="BX124" s="126"/>
      <c r="BY124" s="97">
        <f t="shared" ca="1" si="699"/>
        <v>0</v>
      </c>
      <c r="BZ124" s="97">
        <f t="shared" ca="1" si="670"/>
        <v>128333.33333333336</v>
      </c>
      <c r="CA124" s="151">
        <f t="shared" ca="1" si="700"/>
        <v>0</v>
      </c>
      <c r="CB124" s="188">
        <f t="shared" ca="1" si="701"/>
        <v>11666.666666666666</v>
      </c>
      <c r="CC124" s="144"/>
      <c r="CD124" s="126">
        <f t="shared" ca="1" si="702"/>
        <v>11666.666666666666</v>
      </c>
      <c r="CE124" s="126"/>
      <c r="CF124" s="97">
        <f t="shared" ca="1" si="703"/>
        <v>0</v>
      </c>
      <c r="CG124" s="97">
        <f t="shared" ca="1" si="671"/>
        <v>140000.00000000003</v>
      </c>
      <c r="CH124" s="151">
        <f t="shared" ca="1" si="704"/>
        <v>0</v>
      </c>
      <c r="CI124" s="188">
        <f t="shared" ca="1" si="705"/>
        <v>11666.666666666666</v>
      </c>
      <c r="CJ124" s="5"/>
      <c r="CK124" s="5"/>
      <c r="CL124" s="5"/>
    </row>
    <row r="125" spans="1:90" s="6" customFormat="1">
      <c r="A125" s="290" t="s">
        <v>170</v>
      </c>
      <c r="B125" s="63">
        <v>51956001</v>
      </c>
      <c r="C125" s="134">
        <f t="shared" ca="1" si="652"/>
        <v>21004727.960000001</v>
      </c>
      <c r="D125" s="78"/>
      <c r="E125" s="126">
        <f ca="1">$C125/COUNTA(E$1:$CI$1)</f>
        <v>1750393.9966666668</v>
      </c>
      <c r="F125" s="126"/>
      <c r="G125" s="104">
        <f t="shared" ca="1" si="706"/>
        <v>948787.96</v>
      </c>
      <c r="H125" s="98">
        <f t="shared" ca="1" si="713"/>
        <v>1750393.9966666668</v>
      </c>
      <c r="I125" s="57">
        <f t="shared" ca="1" si="707"/>
        <v>948787.96</v>
      </c>
      <c r="J125" s="188">
        <f t="shared" ca="1" si="714"/>
        <v>-801606.03666666686</v>
      </c>
      <c r="K125" s="70"/>
      <c r="L125" s="126">
        <f t="shared" ca="1" si="712"/>
        <v>1750393.9966666668</v>
      </c>
      <c r="M125" s="126"/>
      <c r="N125" s="97">
        <f t="shared" ca="1" si="672"/>
        <v>2612433.9699999802</v>
      </c>
      <c r="O125" s="98">
        <f t="shared" ca="1" si="673"/>
        <v>3500787.9933333336</v>
      </c>
      <c r="P125" s="151">
        <f t="shared" ca="1" si="674"/>
        <v>3561221.9299999801</v>
      </c>
      <c r="Q125" s="188">
        <f t="shared" ca="1" si="675"/>
        <v>-862039.97333331336</v>
      </c>
      <c r="R125" s="70"/>
      <c r="S125" s="126">
        <f t="shared" ca="1" si="653"/>
        <v>1750393.9966666668</v>
      </c>
      <c r="T125" s="126"/>
      <c r="U125" s="97">
        <f t="shared" ca="1" si="676"/>
        <v>1935203.8499999903</v>
      </c>
      <c r="V125" s="97">
        <f t="shared" ca="1" si="654"/>
        <v>5251181.99</v>
      </c>
      <c r="W125" s="151">
        <f t="shared" ca="1" si="677"/>
        <v>5496425.7799999705</v>
      </c>
      <c r="X125" s="188">
        <f t="shared" ca="1" si="678"/>
        <v>-184809.8533333235</v>
      </c>
      <c r="Y125" s="70"/>
      <c r="Z125" s="126">
        <f t="shared" ca="1" si="655"/>
        <v>1750393.9966666668</v>
      </c>
      <c r="AA125" s="126"/>
      <c r="AB125" s="97">
        <f t="shared" ca="1" si="679"/>
        <v>1584912</v>
      </c>
      <c r="AC125" s="97">
        <f t="shared" ca="1" si="656"/>
        <v>7001575.9866666673</v>
      </c>
      <c r="AD125" s="151">
        <f t="shared" ca="1" si="680"/>
        <v>7081337.7799999705</v>
      </c>
      <c r="AE125" s="188">
        <f t="shared" ca="1" si="681"/>
        <v>165481.99666666682</v>
      </c>
      <c r="AF125" s="70"/>
      <c r="AG125" s="126">
        <f t="shared" ca="1" si="657"/>
        <v>1750393.9966666668</v>
      </c>
      <c r="AH125" s="126"/>
      <c r="AI125" s="97">
        <f t="shared" ca="1" si="682"/>
        <v>1598255.1100000003</v>
      </c>
      <c r="AJ125" s="97">
        <f t="shared" ca="1" si="658"/>
        <v>8751969.9833333343</v>
      </c>
      <c r="AK125" s="151">
        <f t="shared" ca="1" si="683"/>
        <v>8679592.8899999708</v>
      </c>
      <c r="AL125" s="188">
        <f t="shared" ca="1" si="684"/>
        <v>152138.88666666648</v>
      </c>
      <c r="AM125" s="70"/>
      <c r="AN125" s="126">
        <f t="shared" ca="1" si="659"/>
        <v>1750393.9966666668</v>
      </c>
      <c r="AO125" s="126"/>
      <c r="AP125" s="97">
        <f t="shared" ca="1" si="685"/>
        <v>1822771.0900000297</v>
      </c>
      <c r="AQ125" s="97">
        <f t="shared" ca="1" si="660"/>
        <v>10502363.98</v>
      </c>
      <c r="AR125" s="151">
        <f t="shared" ca="1" si="686"/>
        <v>10502363.98</v>
      </c>
      <c r="AS125" s="188">
        <f t="shared" ca="1" si="687"/>
        <v>-72377.093333362835</v>
      </c>
      <c r="AT125" s="70"/>
      <c r="AU125" s="126">
        <f t="shared" ca="1" si="661"/>
        <v>1750393.9966666668</v>
      </c>
      <c r="AV125" s="126"/>
      <c r="AW125" s="97">
        <f t="shared" ca="1" si="688"/>
        <v>1035742</v>
      </c>
      <c r="AX125" s="126">
        <f t="shared" ca="1" si="662"/>
        <v>12252757.976666667</v>
      </c>
      <c r="AY125" s="151">
        <f t="shared" ca="1" si="689"/>
        <v>11538105.98</v>
      </c>
      <c r="AZ125" s="188">
        <f t="shared" ca="1" si="690"/>
        <v>714651.99666666682</v>
      </c>
      <c r="BA125" s="144"/>
      <c r="BB125" s="126">
        <f t="shared" ca="1" si="663"/>
        <v>1750393.9966666668</v>
      </c>
      <c r="BC125" s="126"/>
      <c r="BD125" s="97">
        <f t="shared" ca="1" si="691"/>
        <v>560489.11999999918</v>
      </c>
      <c r="BE125" s="97">
        <f t="shared" ca="1" si="664"/>
        <v>14003151.973333333</v>
      </c>
      <c r="BF125" s="151">
        <f t="shared" ca="1" si="692"/>
        <v>12098595.1</v>
      </c>
      <c r="BG125" s="188">
        <f t="shared" ca="1" si="693"/>
        <v>1189904.8766666676</v>
      </c>
      <c r="BH125" s="144"/>
      <c r="BI125" s="126">
        <f t="shared" ca="1" si="665"/>
        <v>1750393.9966666668</v>
      </c>
      <c r="BJ125" s="126"/>
      <c r="BK125" s="97">
        <f t="shared" ca="1" si="651"/>
        <v>0</v>
      </c>
      <c r="BL125" s="97">
        <f t="shared" ca="1" si="666"/>
        <v>15753545.969999999</v>
      </c>
      <c r="BM125" s="151">
        <f t="shared" ca="1" si="694"/>
        <v>0</v>
      </c>
      <c r="BN125" s="188">
        <f t="shared" ca="1" si="695"/>
        <v>1750393.9966666668</v>
      </c>
      <c r="BO125" s="144"/>
      <c r="BP125" s="126">
        <f t="shared" ca="1" si="667"/>
        <v>1750393.9966666668</v>
      </c>
      <c r="BQ125" s="126"/>
      <c r="BR125" s="97">
        <f t="shared" ca="1" si="696"/>
        <v>0</v>
      </c>
      <c r="BS125" s="97">
        <f t="shared" ca="1" si="668"/>
        <v>17503939.966666665</v>
      </c>
      <c r="BT125" s="151">
        <f t="shared" ca="1" si="697"/>
        <v>0</v>
      </c>
      <c r="BU125" s="188">
        <f t="shared" ca="1" si="698"/>
        <v>1750393.9966666668</v>
      </c>
      <c r="BV125" s="144"/>
      <c r="BW125" s="126">
        <f t="shared" ca="1" si="669"/>
        <v>1750393.9966666668</v>
      </c>
      <c r="BX125" s="126"/>
      <c r="BY125" s="97">
        <f t="shared" ca="1" si="699"/>
        <v>0</v>
      </c>
      <c r="BZ125" s="97">
        <f t="shared" ca="1" si="670"/>
        <v>19254333.963333331</v>
      </c>
      <c r="CA125" s="151">
        <f t="shared" ca="1" si="700"/>
        <v>0</v>
      </c>
      <c r="CB125" s="188">
        <f t="shared" ca="1" si="701"/>
        <v>1750393.9966666668</v>
      </c>
      <c r="CC125" s="144"/>
      <c r="CD125" s="126">
        <f t="shared" ca="1" si="702"/>
        <v>1750393.9966666668</v>
      </c>
      <c r="CE125" s="126"/>
      <c r="CF125" s="97">
        <f t="shared" ca="1" si="703"/>
        <v>0</v>
      </c>
      <c r="CG125" s="97">
        <f t="shared" ca="1" si="671"/>
        <v>21004727.959999997</v>
      </c>
      <c r="CH125" s="151">
        <f t="shared" ca="1" si="704"/>
        <v>0</v>
      </c>
      <c r="CI125" s="188">
        <f t="shared" ca="1" si="705"/>
        <v>1750393.9966666668</v>
      </c>
      <c r="CJ125" s="5"/>
      <c r="CK125" s="5"/>
      <c r="CL125" s="5"/>
    </row>
    <row r="126" spans="1:90" s="6" customFormat="1">
      <c r="A126" s="290" t="s">
        <v>264</v>
      </c>
      <c r="B126" s="63">
        <v>51956002</v>
      </c>
      <c r="C126" s="134">
        <f t="shared" ca="1" si="652"/>
        <v>0</v>
      </c>
      <c r="D126" s="78"/>
      <c r="E126" s="126">
        <f ca="1">$C126/COUNTA(E$1:$CI$1)</f>
        <v>0</v>
      </c>
      <c r="F126" s="126"/>
      <c r="G126" s="104">
        <f ca="1">IFERROR(I126,0)</f>
        <v>0</v>
      </c>
      <c r="H126" s="98">
        <f ca="1">IFERROR(E126,0)</f>
        <v>0</v>
      </c>
      <c r="I126" s="57">
        <f ca="1">IFERROR(IFERROR(VLOOKUP(TEXT($B126,0),INDIRECT("'Balance a "&amp;LEFT(E$1,3)&amp;"'!$B$3:$G$300"),4,0),VLOOKUP(VALUE($B126),INDIRECT("'Balance a "&amp;LEFT(E$1,3)&amp;"'!$B$3:$G$300"),4,0)),0)</f>
        <v>0</v>
      </c>
      <c r="J126" s="188">
        <f ca="1">IFERROR(G126-E126,0)</f>
        <v>0</v>
      </c>
      <c r="K126" s="70"/>
      <c r="L126" s="126">
        <f t="shared" ca="1" si="712"/>
        <v>0</v>
      </c>
      <c r="M126" s="126"/>
      <c r="N126" s="97">
        <f t="shared" ca="1" si="672"/>
        <v>0</v>
      </c>
      <c r="O126" s="98">
        <f t="shared" ca="1" si="673"/>
        <v>0</v>
      </c>
      <c r="P126" s="151">
        <f t="shared" ca="1" si="674"/>
        <v>0</v>
      </c>
      <c r="Q126" s="188">
        <f t="shared" ca="1" si="675"/>
        <v>0</v>
      </c>
      <c r="R126" s="70"/>
      <c r="S126" s="126">
        <f t="shared" ca="1" si="653"/>
        <v>0</v>
      </c>
      <c r="T126" s="126"/>
      <c r="U126" s="97">
        <f t="shared" ca="1" si="676"/>
        <v>0</v>
      </c>
      <c r="V126" s="97">
        <f t="shared" ca="1" si="654"/>
        <v>0</v>
      </c>
      <c r="W126" s="151">
        <f t="shared" ca="1" si="677"/>
        <v>0</v>
      </c>
      <c r="X126" s="188">
        <f t="shared" ca="1" si="678"/>
        <v>0</v>
      </c>
      <c r="Y126" s="70"/>
      <c r="Z126" s="126">
        <f t="shared" ca="1" si="655"/>
        <v>0</v>
      </c>
      <c r="AA126" s="126"/>
      <c r="AB126" s="97">
        <f t="shared" ca="1" si="679"/>
        <v>0</v>
      </c>
      <c r="AC126" s="97">
        <f t="shared" ca="1" si="656"/>
        <v>0</v>
      </c>
      <c r="AD126" s="151">
        <f t="shared" ca="1" si="680"/>
        <v>0</v>
      </c>
      <c r="AE126" s="188">
        <f t="shared" ca="1" si="681"/>
        <v>0</v>
      </c>
      <c r="AF126" s="70"/>
      <c r="AG126" s="126">
        <f t="shared" ca="1" si="657"/>
        <v>0</v>
      </c>
      <c r="AH126" s="126"/>
      <c r="AI126" s="97">
        <f t="shared" ca="1" si="682"/>
        <v>0</v>
      </c>
      <c r="AJ126" s="97">
        <f t="shared" ca="1" si="658"/>
        <v>0</v>
      </c>
      <c r="AK126" s="151">
        <f t="shared" ca="1" si="683"/>
        <v>0</v>
      </c>
      <c r="AL126" s="188">
        <f t="shared" ca="1" si="684"/>
        <v>0</v>
      </c>
      <c r="AM126" s="70"/>
      <c r="AN126" s="126">
        <f t="shared" ca="1" si="659"/>
        <v>0</v>
      </c>
      <c r="AO126" s="126"/>
      <c r="AP126" s="97">
        <f t="shared" ca="1" si="685"/>
        <v>0</v>
      </c>
      <c r="AQ126" s="97">
        <f t="shared" ca="1" si="660"/>
        <v>0</v>
      </c>
      <c r="AR126" s="151">
        <f t="shared" ca="1" si="686"/>
        <v>0</v>
      </c>
      <c r="AS126" s="188">
        <f t="shared" ca="1" si="687"/>
        <v>0</v>
      </c>
      <c r="AT126" s="70"/>
      <c r="AU126" s="126">
        <f t="shared" ca="1" si="661"/>
        <v>0</v>
      </c>
      <c r="AV126" s="126"/>
      <c r="AW126" s="97">
        <f t="shared" ca="1" si="688"/>
        <v>0</v>
      </c>
      <c r="AX126" s="126">
        <f t="shared" ca="1" si="662"/>
        <v>0</v>
      </c>
      <c r="AY126" s="151">
        <f t="shared" ca="1" si="689"/>
        <v>0</v>
      </c>
      <c r="AZ126" s="188">
        <f t="shared" ca="1" si="690"/>
        <v>0</v>
      </c>
      <c r="BA126" s="144"/>
      <c r="BB126" s="126">
        <f t="shared" ca="1" si="663"/>
        <v>0</v>
      </c>
      <c r="BC126" s="126"/>
      <c r="BD126" s="97">
        <f t="shared" ca="1" si="691"/>
        <v>0</v>
      </c>
      <c r="BE126" s="97">
        <f t="shared" ca="1" si="664"/>
        <v>0</v>
      </c>
      <c r="BF126" s="151">
        <f t="shared" ca="1" si="692"/>
        <v>0</v>
      </c>
      <c r="BG126" s="188">
        <f t="shared" ca="1" si="693"/>
        <v>0</v>
      </c>
      <c r="BH126" s="144"/>
      <c r="BI126" s="126">
        <f t="shared" ca="1" si="665"/>
        <v>0</v>
      </c>
      <c r="BJ126" s="126"/>
      <c r="BK126" s="97">
        <f t="shared" ca="1" si="651"/>
        <v>0</v>
      </c>
      <c r="BL126" s="97">
        <f t="shared" ca="1" si="666"/>
        <v>0</v>
      </c>
      <c r="BM126" s="151">
        <f t="shared" ca="1" si="694"/>
        <v>0</v>
      </c>
      <c r="BN126" s="188">
        <f t="shared" ca="1" si="695"/>
        <v>0</v>
      </c>
      <c r="BO126" s="144"/>
      <c r="BP126" s="126">
        <f t="shared" ca="1" si="667"/>
        <v>0</v>
      </c>
      <c r="BQ126" s="126"/>
      <c r="BR126" s="97">
        <f t="shared" ca="1" si="696"/>
        <v>0</v>
      </c>
      <c r="BS126" s="97">
        <f t="shared" ca="1" si="668"/>
        <v>0</v>
      </c>
      <c r="BT126" s="151">
        <f t="shared" ca="1" si="697"/>
        <v>0</v>
      </c>
      <c r="BU126" s="188">
        <f t="shared" ca="1" si="698"/>
        <v>0</v>
      </c>
      <c r="BV126" s="144"/>
      <c r="BW126" s="126">
        <f t="shared" ca="1" si="669"/>
        <v>0</v>
      </c>
      <c r="BX126" s="126"/>
      <c r="BY126" s="97">
        <f t="shared" ca="1" si="699"/>
        <v>0</v>
      </c>
      <c r="BZ126" s="97">
        <f t="shared" ca="1" si="670"/>
        <v>0</v>
      </c>
      <c r="CA126" s="151">
        <f t="shared" ca="1" si="700"/>
        <v>0</v>
      </c>
      <c r="CB126" s="188">
        <f t="shared" ca="1" si="701"/>
        <v>0</v>
      </c>
      <c r="CC126" s="144"/>
      <c r="CD126" s="126">
        <f t="shared" ca="1" si="702"/>
        <v>0</v>
      </c>
      <c r="CE126" s="126"/>
      <c r="CF126" s="97">
        <f t="shared" ca="1" si="703"/>
        <v>0</v>
      </c>
      <c r="CG126" s="97">
        <f t="shared" ca="1" si="671"/>
        <v>0</v>
      </c>
      <c r="CH126" s="151">
        <f t="shared" ca="1" si="704"/>
        <v>0</v>
      </c>
      <c r="CI126" s="188">
        <f t="shared" ca="1" si="705"/>
        <v>0</v>
      </c>
      <c r="CJ126" s="5"/>
      <c r="CK126" s="5"/>
      <c r="CL126" s="5"/>
    </row>
    <row r="127" spans="1:90" s="6" customFormat="1">
      <c r="A127" s="290" t="s">
        <v>190</v>
      </c>
      <c r="B127" s="63">
        <v>51956501</v>
      </c>
      <c r="C127" s="134">
        <f t="shared" ca="1" si="652"/>
        <v>101512.59999999921</v>
      </c>
      <c r="D127" s="78"/>
      <c r="E127" s="126">
        <f ca="1">$C127/COUNTA(E$1:$CI$1)</f>
        <v>8459.3833333332677</v>
      </c>
      <c r="F127" s="126"/>
      <c r="G127" s="104">
        <f t="shared" ca="1" si="706"/>
        <v>0</v>
      </c>
      <c r="H127" s="98">
        <f t="shared" ca="1" si="713"/>
        <v>8459.3833333332677</v>
      </c>
      <c r="I127" s="57">
        <f t="shared" ca="1" si="707"/>
        <v>0</v>
      </c>
      <c r="J127" s="188">
        <f t="shared" ca="1" si="714"/>
        <v>-8459.3833333332677</v>
      </c>
      <c r="K127" s="70"/>
      <c r="L127" s="126">
        <f t="shared" ca="1" si="712"/>
        <v>8459.3833333332677</v>
      </c>
      <c r="M127" s="126"/>
      <c r="N127" s="97">
        <f t="shared" ca="1" si="672"/>
        <v>0</v>
      </c>
      <c r="O127" s="98">
        <f t="shared" ca="1" si="673"/>
        <v>16918.766666666535</v>
      </c>
      <c r="P127" s="151">
        <f t="shared" ca="1" si="674"/>
        <v>0</v>
      </c>
      <c r="Q127" s="188">
        <f t="shared" ca="1" si="675"/>
        <v>8459.3833333332677</v>
      </c>
      <c r="R127" s="70"/>
      <c r="S127" s="126">
        <f t="shared" ca="1" si="653"/>
        <v>8459.3833333332677</v>
      </c>
      <c r="T127" s="126"/>
      <c r="U127" s="97">
        <f t="shared" ca="1" si="676"/>
        <v>0</v>
      </c>
      <c r="V127" s="97">
        <f t="shared" ca="1" si="654"/>
        <v>25378.149999999805</v>
      </c>
      <c r="W127" s="151">
        <f t="shared" ca="1" si="677"/>
        <v>0</v>
      </c>
      <c r="X127" s="188">
        <f t="shared" ca="1" si="678"/>
        <v>8459.3833333332677</v>
      </c>
      <c r="Y127" s="70"/>
      <c r="Z127" s="126">
        <f t="shared" ca="1" si="655"/>
        <v>8459.3833333332677</v>
      </c>
      <c r="AA127" s="126"/>
      <c r="AB127" s="97">
        <f t="shared" ca="1" si="679"/>
        <v>50756.299999999603</v>
      </c>
      <c r="AC127" s="97">
        <f t="shared" ca="1" si="656"/>
        <v>33837.533333333071</v>
      </c>
      <c r="AD127" s="151">
        <f t="shared" ca="1" si="680"/>
        <v>50756.299999999603</v>
      </c>
      <c r="AE127" s="188">
        <f t="shared" ca="1" si="681"/>
        <v>-42296.916666666337</v>
      </c>
      <c r="AF127" s="70"/>
      <c r="AG127" s="126">
        <f t="shared" ca="1" si="657"/>
        <v>8459.3833333332677</v>
      </c>
      <c r="AH127" s="126"/>
      <c r="AI127" s="97">
        <f t="shared" ca="1" si="682"/>
        <v>0</v>
      </c>
      <c r="AJ127" s="97">
        <f t="shared" ca="1" si="658"/>
        <v>42296.916666666337</v>
      </c>
      <c r="AK127" s="151">
        <f t="shared" ca="1" si="683"/>
        <v>50756.299999999603</v>
      </c>
      <c r="AL127" s="188">
        <f t="shared" ca="1" si="684"/>
        <v>8459.3833333332677</v>
      </c>
      <c r="AM127" s="70"/>
      <c r="AN127" s="126">
        <f t="shared" ca="1" si="659"/>
        <v>8459.3833333332677</v>
      </c>
      <c r="AO127" s="126"/>
      <c r="AP127" s="97">
        <f t="shared" ca="1" si="685"/>
        <v>0</v>
      </c>
      <c r="AQ127" s="97">
        <f t="shared" ca="1" si="660"/>
        <v>50756.299999999603</v>
      </c>
      <c r="AR127" s="151">
        <f t="shared" ca="1" si="686"/>
        <v>50756.299999999603</v>
      </c>
      <c r="AS127" s="188">
        <f t="shared" ca="1" si="687"/>
        <v>8459.3833333332677</v>
      </c>
      <c r="AT127" s="70"/>
      <c r="AU127" s="126">
        <f t="shared" ca="1" si="661"/>
        <v>8459.3833333332677</v>
      </c>
      <c r="AV127" s="126"/>
      <c r="AW127" s="97">
        <f t="shared" ca="1" si="688"/>
        <v>0</v>
      </c>
      <c r="AX127" s="126">
        <f t="shared" ca="1" si="662"/>
        <v>59215.683333332869</v>
      </c>
      <c r="AY127" s="151">
        <f t="shared" ca="1" si="689"/>
        <v>50756.299999999603</v>
      </c>
      <c r="AZ127" s="188">
        <f t="shared" ca="1" si="690"/>
        <v>8459.3833333332677</v>
      </c>
      <c r="BA127" s="144"/>
      <c r="BB127" s="126">
        <f t="shared" ca="1" si="663"/>
        <v>8459.3833333332677</v>
      </c>
      <c r="BC127" s="126"/>
      <c r="BD127" s="97">
        <f t="shared" ca="1" si="691"/>
        <v>0</v>
      </c>
      <c r="BE127" s="97">
        <f t="shared" ca="1" si="664"/>
        <v>67675.066666666142</v>
      </c>
      <c r="BF127" s="151">
        <f t="shared" ca="1" si="692"/>
        <v>50756.299999999603</v>
      </c>
      <c r="BG127" s="188">
        <f t="shared" ca="1" si="693"/>
        <v>8459.3833333332677</v>
      </c>
      <c r="BH127" s="144"/>
      <c r="BI127" s="126">
        <f t="shared" ca="1" si="665"/>
        <v>8459.3833333332677</v>
      </c>
      <c r="BJ127" s="126"/>
      <c r="BK127" s="97">
        <f t="shared" ca="1" si="651"/>
        <v>0</v>
      </c>
      <c r="BL127" s="97">
        <f t="shared" ca="1" si="666"/>
        <v>76134.449999999415</v>
      </c>
      <c r="BM127" s="151">
        <f t="shared" ca="1" si="694"/>
        <v>0</v>
      </c>
      <c r="BN127" s="188">
        <f t="shared" ca="1" si="695"/>
        <v>8459.3833333332677</v>
      </c>
      <c r="BO127" s="144"/>
      <c r="BP127" s="126">
        <f t="shared" ca="1" si="667"/>
        <v>8459.3833333332677</v>
      </c>
      <c r="BQ127" s="126"/>
      <c r="BR127" s="97">
        <f t="shared" ca="1" si="696"/>
        <v>0</v>
      </c>
      <c r="BS127" s="97">
        <f t="shared" ca="1" si="668"/>
        <v>84593.833333332688</v>
      </c>
      <c r="BT127" s="151">
        <f t="shared" ca="1" si="697"/>
        <v>0</v>
      </c>
      <c r="BU127" s="188">
        <f t="shared" ca="1" si="698"/>
        <v>8459.3833333332677</v>
      </c>
      <c r="BV127" s="144"/>
      <c r="BW127" s="126">
        <f t="shared" ca="1" si="669"/>
        <v>8459.3833333332677</v>
      </c>
      <c r="BX127" s="126"/>
      <c r="BY127" s="97">
        <f t="shared" ca="1" si="699"/>
        <v>0</v>
      </c>
      <c r="BZ127" s="97">
        <f t="shared" ca="1" si="670"/>
        <v>93053.216666665961</v>
      </c>
      <c r="CA127" s="151">
        <f t="shared" ca="1" si="700"/>
        <v>0</v>
      </c>
      <c r="CB127" s="188">
        <f t="shared" ca="1" si="701"/>
        <v>8459.3833333332677</v>
      </c>
      <c r="CC127" s="144"/>
      <c r="CD127" s="126">
        <f t="shared" ca="1" si="702"/>
        <v>8459.3833333332677</v>
      </c>
      <c r="CE127" s="126"/>
      <c r="CF127" s="97">
        <f t="shared" ca="1" si="703"/>
        <v>0</v>
      </c>
      <c r="CG127" s="97">
        <f t="shared" ca="1" si="671"/>
        <v>101512.59999999923</v>
      </c>
      <c r="CH127" s="151">
        <f t="shared" ca="1" si="704"/>
        <v>0</v>
      </c>
      <c r="CI127" s="188">
        <f t="shared" ca="1" si="705"/>
        <v>8459.3833333332677</v>
      </c>
      <c r="CJ127" s="5"/>
      <c r="CK127" s="5"/>
      <c r="CL127" s="5"/>
    </row>
    <row r="128" spans="1:90" s="6" customFormat="1">
      <c r="A128" s="290" t="s">
        <v>421</v>
      </c>
      <c r="B128" s="63">
        <v>51959502</v>
      </c>
      <c r="C128" s="134">
        <f t="shared" ca="1" si="652"/>
        <v>0</v>
      </c>
      <c r="D128" s="78"/>
      <c r="E128" s="126">
        <f ca="1">$C128/COUNTA(E$1:$CI$1)</f>
        <v>0</v>
      </c>
      <c r="F128" s="126"/>
      <c r="G128" s="104">
        <f ca="1">IFERROR(I128,0)</f>
        <v>0</v>
      </c>
      <c r="H128" s="98">
        <f ca="1">IFERROR(E128,0)</f>
        <v>0</v>
      </c>
      <c r="I128" s="57">
        <f ca="1">IFERROR(IFERROR(VLOOKUP(TEXT($B128,0),INDIRECT("'Balance a "&amp;LEFT(E$1,3)&amp;"'!$B$3:$G$300"),4,0),VLOOKUP(VALUE($B128),INDIRECT("'Balance a "&amp;LEFT(E$1,3)&amp;"'!$B$3:$G$300"),4,0)),0)</f>
        <v>0</v>
      </c>
      <c r="J128" s="188">
        <f ca="1">IFERROR(G128-E128,0)</f>
        <v>0</v>
      </c>
      <c r="K128" s="70"/>
      <c r="L128" s="126">
        <f t="shared" ca="1" si="712"/>
        <v>0</v>
      </c>
      <c r="M128" s="126"/>
      <c r="N128" s="97">
        <f t="shared" ca="1" si="672"/>
        <v>0</v>
      </c>
      <c r="O128" s="98">
        <f t="shared" ca="1" si="673"/>
        <v>0</v>
      </c>
      <c r="P128" s="151">
        <f t="shared" ca="1" si="674"/>
        <v>0</v>
      </c>
      <c r="Q128" s="188">
        <f t="shared" ca="1" si="675"/>
        <v>0</v>
      </c>
      <c r="R128" s="70"/>
      <c r="S128" s="126">
        <f t="shared" ca="1" si="653"/>
        <v>0</v>
      </c>
      <c r="T128" s="126"/>
      <c r="U128" s="97">
        <f t="shared" ca="1" si="676"/>
        <v>0</v>
      </c>
      <c r="V128" s="97">
        <f t="shared" ca="1" si="654"/>
        <v>0</v>
      </c>
      <c r="W128" s="151">
        <f t="shared" ca="1" si="677"/>
        <v>0</v>
      </c>
      <c r="X128" s="188">
        <f t="shared" ca="1" si="678"/>
        <v>0</v>
      </c>
      <c r="Y128" s="70"/>
      <c r="Z128" s="126">
        <f t="shared" ca="1" si="655"/>
        <v>0</v>
      </c>
      <c r="AA128" s="126"/>
      <c r="AB128" s="97">
        <f t="shared" ca="1" si="679"/>
        <v>0</v>
      </c>
      <c r="AC128" s="97">
        <f t="shared" ca="1" si="656"/>
        <v>0</v>
      </c>
      <c r="AD128" s="151">
        <f t="shared" ca="1" si="680"/>
        <v>0</v>
      </c>
      <c r="AE128" s="188">
        <f t="shared" ca="1" si="681"/>
        <v>0</v>
      </c>
      <c r="AF128" s="70"/>
      <c r="AG128" s="126">
        <f t="shared" ca="1" si="657"/>
        <v>0</v>
      </c>
      <c r="AH128" s="126"/>
      <c r="AI128" s="97">
        <f t="shared" ca="1" si="682"/>
        <v>0</v>
      </c>
      <c r="AJ128" s="97">
        <f t="shared" ca="1" si="658"/>
        <v>0</v>
      </c>
      <c r="AK128" s="151">
        <f t="shared" ca="1" si="683"/>
        <v>0</v>
      </c>
      <c r="AL128" s="188">
        <f t="shared" ca="1" si="684"/>
        <v>0</v>
      </c>
      <c r="AM128" s="70"/>
      <c r="AN128" s="126">
        <f t="shared" ca="1" si="659"/>
        <v>0</v>
      </c>
      <c r="AO128" s="126"/>
      <c r="AP128" s="97">
        <f t="shared" ca="1" si="685"/>
        <v>0</v>
      </c>
      <c r="AQ128" s="97">
        <f t="shared" ca="1" si="660"/>
        <v>0</v>
      </c>
      <c r="AR128" s="151">
        <f t="shared" ca="1" si="686"/>
        <v>0</v>
      </c>
      <c r="AS128" s="188">
        <f t="shared" ca="1" si="687"/>
        <v>0</v>
      </c>
      <c r="AT128" s="70"/>
      <c r="AU128" s="126">
        <f t="shared" ca="1" si="661"/>
        <v>0</v>
      </c>
      <c r="AV128" s="126"/>
      <c r="AW128" s="97">
        <f t="shared" ca="1" si="688"/>
        <v>0</v>
      </c>
      <c r="AX128" s="126">
        <f t="shared" ca="1" si="662"/>
        <v>0</v>
      </c>
      <c r="AY128" s="151">
        <f t="shared" ca="1" si="689"/>
        <v>0</v>
      </c>
      <c r="AZ128" s="188">
        <f t="shared" ca="1" si="690"/>
        <v>0</v>
      </c>
      <c r="BA128" s="144"/>
      <c r="BB128" s="126">
        <f t="shared" ca="1" si="663"/>
        <v>0</v>
      </c>
      <c r="BC128" s="126"/>
      <c r="BD128" s="97">
        <f t="shared" ca="1" si="691"/>
        <v>0</v>
      </c>
      <c r="BE128" s="97">
        <f t="shared" ca="1" si="664"/>
        <v>0</v>
      </c>
      <c r="BF128" s="151">
        <f t="shared" ca="1" si="692"/>
        <v>0</v>
      </c>
      <c r="BG128" s="188">
        <f t="shared" ca="1" si="693"/>
        <v>0</v>
      </c>
      <c r="BH128" s="144"/>
      <c r="BI128" s="126">
        <f t="shared" ca="1" si="665"/>
        <v>0</v>
      </c>
      <c r="BJ128" s="126"/>
      <c r="BK128" s="97">
        <f t="shared" ca="1" si="651"/>
        <v>0</v>
      </c>
      <c r="BL128" s="97">
        <f t="shared" ca="1" si="666"/>
        <v>0</v>
      </c>
      <c r="BM128" s="151">
        <f t="shared" ca="1" si="694"/>
        <v>0</v>
      </c>
      <c r="BN128" s="188">
        <f t="shared" ca="1" si="695"/>
        <v>0</v>
      </c>
      <c r="BO128" s="144"/>
      <c r="BP128" s="126">
        <f t="shared" ca="1" si="667"/>
        <v>0</v>
      </c>
      <c r="BQ128" s="126"/>
      <c r="BR128" s="97">
        <f t="shared" ca="1" si="696"/>
        <v>0</v>
      </c>
      <c r="BS128" s="97">
        <f t="shared" ca="1" si="668"/>
        <v>0</v>
      </c>
      <c r="BT128" s="151">
        <f t="shared" ca="1" si="697"/>
        <v>0</v>
      </c>
      <c r="BU128" s="188">
        <f t="shared" ca="1" si="698"/>
        <v>0</v>
      </c>
      <c r="BV128" s="144"/>
      <c r="BW128" s="126">
        <f t="shared" ca="1" si="669"/>
        <v>0</v>
      </c>
      <c r="BX128" s="126"/>
      <c r="BY128" s="97">
        <f t="shared" ca="1" si="699"/>
        <v>0</v>
      </c>
      <c r="BZ128" s="97">
        <f t="shared" ca="1" si="670"/>
        <v>0</v>
      </c>
      <c r="CA128" s="151">
        <f t="shared" ca="1" si="700"/>
        <v>0</v>
      </c>
      <c r="CB128" s="188">
        <f t="shared" ca="1" si="701"/>
        <v>0</v>
      </c>
      <c r="CC128" s="144"/>
      <c r="CD128" s="126">
        <f t="shared" ca="1" si="702"/>
        <v>0</v>
      </c>
      <c r="CE128" s="126"/>
      <c r="CF128" s="97">
        <f t="shared" ca="1" si="703"/>
        <v>0</v>
      </c>
      <c r="CG128" s="97">
        <f t="shared" ca="1" si="671"/>
        <v>0</v>
      </c>
      <c r="CH128" s="151">
        <f t="shared" ca="1" si="704"/>
        <v>0</v>
      </c>
      <c r="CI128" s="188">
        <f t="shared" ca="1" si="705"/>
        <v>0</v>
      </c>
      <c r="CJ128" s="5"/>
      <c r="CK128" s="5"/>
      <c r="CL128" s="5"/>
    </row>
    <row r="129" spans="1:90" s="6" customFormat="1">
      <c r="A129" s="290" t="s">
        <v>433</v>
      </c>
      <c r="B129" s="63">
        <v>51959503</v>
      </c>
      <c r="C129" s="134">
        <f t="shared" ca="1" si="652"/>
        <v>0</v>
      </c>
      <c r="D129" s="78"/>
      <c r="E129" s="126">
        <f ca="1">$C129/COUNTA(E$1:$CI$1)</f>
        <v>0</v>
      </c>
      <c r="F129" s="126"/>
      <c r="G129" s="104">
        <f ca="1">IFERROR(I129,0)</f>
        <v>0</v>
      </c>
      <c r="H129" s="98">
        <f ca="1">IFERROR(E129,0)</f>
        <v>0</v>
      </c>
      <c r="I129" s="57">
        <f ca="1">IFERROR(IFERROR(VLOOKUP(TEXT($B129,0),INDIRECT("'Balance a "&amp;LEFT(E$1,3)&amp;"'!$B$3:$G$300"),4,0),VLOOKUP(VALUE($B129),INDIRECT("'Balance a "&amp;LEFT(E$1,3)&amp;"'!$B$3:$G$300"),4,0)),0)</f>
        <v>0</v>
      </c>
      <c r="J129" s="188">
        <f ca="1">IFERROR(G129-E129,0)</f>
        <v>0</v>
      </c>
      <c r="K129" s="70"/>
      <c r="L129" s="126">
        <f t="shared" ca="1" si="712"/>
        <v>0</v>
      </c>
      <c r="M129" s="126"/>
      <c r="N129" s="97">
        <f t="shared" ca="1" si="672"/>
        <v>0</v>
      </c>
      <c r="O129" s="98">
        <f t="shared" ca="1" si="673"/>
        <v>0</v>
      </c>
      <c r="P129" s="151">
        <f t="shared" ca="1" si="674"/>
        <v>0</v>
      </c>
      <c r="Q129" s="188">
        <f t="shared" ca="1" si="675"/>
        <v>0</v>
      </c>
      <c r="R129" s="70"/>
      <c r="S129" s="126">
        <f t="shared" ca="1" si="653"/>
        <v>0</v>
      </c>
      <c r="T129" s="126"/>
      <c r="U129" s="97">
        <f t="shared" ca="1" si="676"/>
        <v>0</v>
      </c>
      <c r="V129" s="97">
        <f t="shared" ca="1" si="654"/>
        <v>0</v>
      </c>
      <c r="W129" s="151">
        <f t="shared" ca="1" si="677"/>
        <v>0</v>
      </c>
      <c r="X129" s="188">
        <f t="shared" ca="1" si="678"/>
        <v>0</v>
      </c>
      <c r="Y129" s="70"/>
      <c r="Z129" s="126">
        <f t="shared" ca="1" si="655"/>
        <v>0</v>
      </c>
      <c r="AA129" s="126"/>
      <c r="AB129" s="97">
        <f t="shared" ca="1" si="679"/>
        <v>0</v>
      </c>
      <c r="AC129" s="97">
        <f t="shared" ca="1" si="656"/>
        <v>0</v>
      </c>
      <c r="AD129" s="151">
        <f t="shared" ca="1" si="680"/>
        <v>0</v>
      </c>
      <c r="AE129" s="188">
        <f t="shared" ca="1" si="681"/>
        <v>0</v>
      </c>
      <c r="AF129" s="70"/>
      <c r="AG129" s="126">
        <f t="shared" ca="1" si="657"/>
        <v>0</v>
      </c>
      <c r="AH129" s="126"/>
      <c r="AI129" s="97">
        <f t="shared" ca="1" si="682"/>
        <v>0</v>
      </c>
      <c r="AJ129" s="97">
        <f t="shared" ca="1" si="658"/>
        <v>0</v>
      </c>
      <c r="AK129" s="151">
        <f t="shared" ca="1" si="683"/>
        <v>0</v>
      </c>
      <c r="AL129" s="188">
        <f t="shared" ca="1" si="684"/>
        <v>0</v>
      </c>
      <c r="AM129" s="70"/>
      <c r="AN129" s="126">
        <f t="shared" ca="1" si="659"/>
        <v>0</v>
      </c>
      <c r="AO129" s="126"/>
      <c r="AP129" s="97">
        <f t="shared" ca="1" si="685"/>
        <v>0</v>
      </c>
      <c r="AQ129" s="97">
        <f t="shared" ca="1" si="660"/>
        <v>0</v>
      </c>
      <c r="AR129" s="151">
        <f t="shared" ca="1" si="686"/>
        <v>0</v>
      </c>
      <c r="AS129" s="188">
        <f t="shared" ca="1" si="687"/>
        <v>0</v>
      </c>
      <c r="AT129" s="70"/>
      <c r="AU129" s="126">
        <f t="shared" ca="1" si="661"/>
        <v>0</v>
      </c>
      <c r="AV129" s="126"/>
      <c r="AW129" s="97">
        <f t="shared" ca="1" si="688"/>
        <v>0</v>
      </c>
      <c r="AX129" s="126">
        <f t="shared" ca="1" si="662"/>
        <v>0</v>
      </c>
      <c r="AY129" s="151">
        <f t="shared" ca="1" si="689"/>
        <v>0</v>
      </c>
      <c r="AZ129" s="188">
        <f t="shared" ca="1" si="690"/>
        <v>0</v>
      </c>
      <c r="BA129" s="144"/>
      <c r="BB129" s="126">
        <f t="shared" ca="1" si="663"/>
        <v>0</v>
      </c>
      <c r="BC129" s="126"/>
      <c r="BD129" s="97">
        <f t="shared" ca="1" si="691"/>
        <v>0</v>
      </c>
      <c r="BE129" s="97">
        <f t="shared" ca="1" si="664"/>
        <v>0</v>
      </c>
      <c r="BF129" s="151">
        <f t="shared" ca="1" si="692"/>
        <v>0</v>
      </c>
      <c r="BG129" s="188">
        <f t="shared" ca="1" si="693"/>
        <v>0</v>
      </c>
      <c r="BH129" s="144"/>
      <c r="BI129" s="126">
        <f t="shared" ca="1" si="665"/>
        <v>0</v>
      </c>
      <c r="BJ129" s="126"/>
      <c r="BK129" s="97">
        <f t="shared" ca="1" si="651"/>
        <v>0</v>
      </c>
      <c r="BL129" s="97">
        <f t="shared" ca="1" si="666"/>
        <v>0</v>
      </c>
      <c r="BM129" s="151">
        <f t="shared" ca="1" si="694"/>
        <v>0</v>
      </c>
      <c r="BN129" s="188">
        <f t="shared" ca="1" si="695"/>
        <v>0</v>
      </c>
      <c r="BO129" s="144"/>
      <c r="BP129" s="126">
        <f t="shared" ca="1" si="667"/>
        <v>0</v>
      </c>
      <c r="BQ129" s="126"/>
      <c r="BR129" s="97">
        <f t="shared" ca="1" si="696"/>
        <v>0</v>
      </c>
      <c r="BS129" s="97">
        <f t="shared" ca="1" si="668"/>
        <v>0</v>
      </c>
      <c r="BT129" s="151">
        <f t="shared" ca="1" si="697"/>
        <v>0</v>
      </c>
      <c r="BU129" s="188">
        <f t="shared" ca="1" si="698"/>
        <v>0</v>
      </c>
      <c r="BV129" s="144"/>
      <c r="BW129" s="126">
        <f t="shared" ca="1" si="669"/>
        <v>0</v>
      </c>
      <c r="BX129" s="126"/>
      <c r="BY129" s="97">
        <f t="shared" ca="1" si="699"/>
        <v>0</v>
      </c>
      <c r="BZ129" s="97">
        <f t="shared" ca="1" si="670"/>
        <v>0</v>
      </c>
      <c r="CA129" s="151">
        <f t="shared" ca="1" si="700"/>
        <v>0</v>
      </c>
      <c r="CB129" s="188">
        <f t="shared" ca="1" si="701"/>
        <v>0</v>
      </c>
      <c r="CC129" s="144"/>
      <c r="CD129" s="126">
        <f t="shared" ca="1" si="702"/>
        <v>0</v>
      </c>
      <c r="CE129" s="126"/>
      <c r="CF129" s="97">
        <f t="shared" ca="1" si="703"/>
        <v>0</v>
      </c>
      <c r="CG129" s="97">
        <f t="shared" ca="1" si="671"/>
        <v>0</v>
      </c>
      <c r="CH129" s="151">
        <f t="shared" ca="1" si="704"/>
        <v>0</v>
      </c>
      <c r="CI129" s="188">
        <f t="shared" ca="1" si="705"/>
        <v>0</v>
      </c>
      <c r="CJ129" s="5"/>
      <c r="CK129" s="5"/>
      <c r="CL129" s="5"/>
    </row>
    <row r="130" spans="1:90" s="6" customFormat="1">
      <c r="A130" s="290" t="s">
        <v>171</v>
      </c>
      <c r="B130" s="63">
        <v>51959595</v>
      </c>
      <c r="C130" s="134">
        <f t="shared" ca="1" si="652"/>
        <v>0</v>
      </c>
      <c r="D130" s="78"/>
      <c r="E130" s="126">
        <f ca="1">$C130/COUNTA(E$1:$CI$1)</f>
        <v>0</v>
      </c>
      <c r="F130" s="126"/>
      <c r="G130" s="104">
        <f t="shared" ca="1" si="706"/>
        <v>0</v>
      </c>
      <c r="H130" s="98">
        <f t="shared" ca="1" si="713"/>
        <v>0</v>
      </c>
      <c r="I130" s="57">
        <f t="shared" ca="1" si="707"/>
        <v>0</v>
      </c>
      <c r="J130" s="188">
        <f t="shared" ca="1" si="714"/>
        <v>0</v>
      </c>
      <c r="K130" s="70"/>
      <c r="L130" s="126">
        <f t="shared" ca="1" si="712"/>
        <v>0</v>
      </c>
      <c r="M130" s="126"/>
      <c r="N130" s="97">
        <f t="shared" ca="1" si="672"/>
        <v>0</v>
      </c>
      <c r="O130" s="98">
        <f t="shared" ca="1" si="673"/>
        <v>0</v>
      </c>
      <c r="P130" s="151">
        <f t="shared" ca="1" si="674"/>
        <v>0</v>
      </c>
      <c r="Q130" s="188">
        <f t="shared" ca="1" si="675"/>
        <v>0</v>
      </c>
      <c r="R130" s="70"/>
      <c r="S130" s="126">
        <f t="shared" ca="1" si="653"/>
        <v>0</v>
      </c>
      <c r="T130" s="126"/>
      <c r="U130" s="97">
        <f t="shared" ca="1" si="676"/>
        <v>0</v>
      </c>
      <c r="V130" s="97">
        <f t="shared" ca="1" si="654"/>
        <v>0</v>
      </c>
      <c r="W130" s="151">
        <f t="shared" ca="1" si="677"/>
        <v>0</v>
      </c>
      <c r="X130" s="188">
        <f t="shared" ca="1" si="678"/>
        <v>0</v>
      </c>
      <c r="Y130" s="70"/>
      <c r="Z130" s="126">
        <f t="shared" ca="1" si="655"/>
        <v>0</v>
      </c>
      <c r="AA130" s="126"/>
      <c r="AB130" s="97">
        <f t="shared" ca="1" si="679"/>
        <v>0</v>
      </c>
      <c r="AC130" s="97">
        <f t="shared" ca="1" si="656"/>
        <v>0</v>
      </c>
      <c r="AD130" s="151">
        <f t="shared" ca="1" si="680"/>
        <v>0</v>
      </c>
      <c r="AE130" s="188">
        <f t="shared" ca="1" si="681"/>
        <v>0</v>
      </c>
      <c r="AF130" s="70"/>
      <c r="AG130" s="126">
        <f t="shared" ca="1" si="657"/>
        <v>0</v>
      </c>
      <c r="AH130" s="126"/>
      <c r="AI130" s="97">
        <f t="shared" ca="1" si="682"/>
        <v>0</v>
      </c>
      <c r="AJ130" s="97">
        <f t="shared" ca="1" si="658"/>
        <v>0</v>
      </c>
      <c r="AK130" s="151">
        <f t="shared" ca="1" si="683"/>
        <v>0</v>
      </c>
      <c r="AL130" s="188">
        <f t="shared" ca="1" si="684"/>
        <v>0</v>
      </c>
      <c r="AM130" s="70"/>
      <c r="AN130" s="126">
        <f t="shared" ca="1" si="659"/>
        <v>0</v>
      </c>
      <c r="AO130" s="126"/>
      <c r="AP130" s="97">
        <f t="shared" ca="1" si="685"/>
        <v>0</v>
      </c>
      <c r="AQ130" s="97">
        <f t="shared" ca="1" si="660"/>
        <v>0</v>
      </c>
      <c r="AR130" s="151">
        <f t="shared" ca="1" si="686"/>
        <v>0</v>
      </c>
      <c r="AS130" s="188">
        <f t="shared" ca="1" si="687"/>
        <v>0</v>
      </c>
      <c r="AT130" s="70"/>
      <c r="AU130" s="126">
        <f t="shared" ca="1" si="661"/>
        <v>0</v>
      </c>
      <c r="AV130" s="126"/>
      <c r="AW130" s="97">
        <f t="shared" ca="1" si="688"/>
        <v>0</v>
      </c>
      <c r="AX130" s="126">
        <f t="shared" ca="1" si="662"/>
        <v>0</v>
      </c>
      <c r="AY130" s="151">
        <f t="shared" ca="1" si="689"/>
        <v>0</v>
      </c>
      <c r="AZ130" s="188">
        <f t="shared" ca="1" si="690"/>
        <v>0</v>
      </c>
      <c r="BA130" s="144"/>
      <c r="BB130" s="126">
        <f t="shared" ca="1" si="663"/>
        <v>0</v>
      </c>
      <c r="BC130" s="126"/>
      <c r="BD130" s="97">
        <f t="shared" ca="1" si="691"/>
        <v>0</v>
      </c>
      <c r="BE130" s="97">
        <f t="shared" ca="1" si="664"/>
        <v>0</v>
      </c>
      <c r="BF130" s="151">
        <f t="shared" ca="1" si="692"/>
        <v>0</v>
      </c>
      <c r="BG130" s="188">
        <f t="shared" ca="1" si="693"/>
        <v>0</v>
      </c>
      <c r="BH130" s="144"/>
      <c r="BI130" s="126">
        <f t="shared" ca="1" si="665"/>
        <v>0</v>
      </c>
      <c r="BJ130" s="126"/>
      <c r="BK130" s="97">
        <f t="shared" ca="1" si="651"/>
        <v>0</v>
      </c>
      <c r="BL130" s="97">
        <f t="shared" ca="1" si="666"/>
        <v>0</v>
      </c>
      <c r="BM130" s="151">
        <f t="shared" ca="1" si="694"/>
        <v>0</v>
      </c>
      <c r="BN130" s="188">
        <f t="shared" ca="1" si="695"/>
        <v>0</v>
      </c>
      <c r="BO130" s="144"/>
      <c r="BP130" s="126">
        <f t="shared" ca="1" si="667"/>
        <v>0</v>
      </c>
      <c r="BQ130" s="126"/>
      <c r="BR130" s="97">
        <f t="shared" ca="1" si="696"/>
        <v>0</v>
      </c>
      <c r="BS130" s="97">
        <f t="shared" ca="1" si="668"/>
        <v>0</v>
      </c>
      <c r="BT130" s="151">
        <f t="shared" ca="1" si="697"/>
        <v>0</v>
      </c>
      <c r="BU130" s="188">
        <f t="shared" ca="1" si="698"/>
        <v>0</v>
      </c>
      <c r="BV130" s="144"/>
      <c r="BW130" s="126">
        <f t="shared" ca="1" si="669"/>
        <v>0</v>
      </c>
      <c r="BX130" s="126"/>
      <c r="BY130" s="97">
        <f t="shared" ca="1" si="699"/>
        <v>0</v>
      </c>
      <c r="BZ130" s="97">
        <f t="shared" ca="1" si="670"/>
        <v>0</v>
      </c>
      <c r="CA130" s="151">
        <f t="shared" ca="1" si="700"/>
        <v>0</v>
      </c>
      <c r="CB130" s="188">
        <f t="shared" ca="1" si="701"/>
        <v>0</v>
      </c>
      <c r="CC130" s="144"/>
      <c r="CD130" s="126">
        <f t="shared" ca="1" si="702"/>
        <v>0</v>
      </c>
      <c r="CE130" s="126"/>
      <c r="CF130" s="97">
        <f t="shared" ca="1" si="703"/>
        <v>0</v>
      </c>
      <c r="CG130" s="97">
        <f t="shared" ca="1" si="671"/>
        <v>0</v>
      </c>
      <c r="CH130" s="151">
        <f t="shared" ca="1" si="704"/>
        <v>0</v>
      </c>
      <c r="CI130" s="188">
        <f t="shared" ca="1" si="705"/>
        <v>0</v>
      </c>
      <c r="CJ130" s="5"/>
      <c r="CK130" s="5"/>
      <c r="CL130" s="5"/>
    </row>
    <row r="131" spans="1:90" s="6" customFormat="1">
      <c r="A131" s="290" t="s">
        <v>534</v>
      </c>
      <c r="B131" s="63">
        <v>51959597</v>
      </c>
      <c r="C131" s="134">
        <f t="shared" ca="1" si="652"/>
        <v>7500571.54</v>
      </c>
      <c r="D131" s="78"/>
      <c r="E131" s="126">
        <f ca="1">$C131/COUNTA(E$1:$CI$1)</f>
        <v>625047.6283333333</v>
      </c>
      <c r="F131" s="126"/>
      <c r="G131" s="104">
        <f t="shared" ref="G131" ca="1" si="715">IFERROR(I131,0)</f>
        <v>217245</v>
      </c>
      <c r="H131" s="98">
        <f t="shared" ref="H131" ca="1" si="716">IFERROR(E131,0)</f>
        <v>625047.6283333333</v>
      </c>
      <c r="I131" s="57">
        <f t="shared" ref="I131" ca="1" si="717">IFERROR(IFERROR(VLOOKUP(TEXT($B131,0),INDIRECT("'Balance a "&amp;LEFT(E$1,3)&amp;"'!$B$3:$G$300"),4,0),VLOOKUP(VALUE($B131),INDIRECT("'Balance a "&amp;LEFT(E$1,3)&amp;"'!$B$3:$G$300"),4,0)),0)</f>
        <v>217245</v>
      </c>
      <c r="J131" s="188">
        <f t="shared" ref="J131" ca="1" si="718">IFERROR(G131-E131,0)</f>
        <v>-407802.6283333333</v>
      </c>
      <c r="K131" s="70"/>
      <c r="L131" s="126">
        <f t="shared" ca="1" si="712"/>
        <v>625047.6283333333</v>
      </c>
      <c r="M131" s="126"/>
      <c r="N131" s="97">
        <f t="shared" ca="1" si="672"/>
        <v>0</v>
      </c>
      <c r="O131" s="98">
        <f t="shared" ca="1" si="673"/>
        <v>1250095.2566666666</v>
      </c>
      <c r="P131" s="151">
        <f t="shared" ca="1" si="674"/>
        <v>217245</v>
      </c>
      <c r="Q131" s="188">
        <f t="shared" ca="1" si="675"/>
        <v>625047.6283333333</v>
      </c>
      <c r="R131" s="70"/>
      <c r="S131" s="126">
        <f t="shared" ca="1" si="653"/>
        <v>625047.6283333333</v>
      </c>
      <c r="T131" s="126"/>
      <c r="U131" s="97">
        <f t="shared" ca="1" si="676"/>
        <v>0</v>
      </c>
      <c r="V131" s="97">
        <f t="shared" ca="1" si="654"/>
        <v>1875142.8849999998</v>
      </c>
      <c r="W131" s="151">
        <f t="shared" ca="1" si="677"/>
        <v>217245</v>
      </c>
      <c r="X131" s="188">
        <f t="shared" ca="1" si="678"/>
        <v>625047.6283333333</v>
      </c>
      <c r="Y131" s="70"/>
      <c r="Z131" s="126">
        <f t="shared" ca="1" si="655"/>
        <v>625047.6283333333</v>
      </c>
      <c r="AA131" s="126"/>
      <c r="AB131" s="97">
        <f t="shared" ca="1" si="679"/>
        <v>1689992.77</v>
      </c>
      <c r="AC131" s="97">
        <f t="shared" ca="1" si="656"/>
        <v>2500190.5133333332</v>
      </c>
      <c r="AD131" s="151">
        <f t="shared" ca="1" si="680"/>
        <v>1907237.77</v>
      </c>
      <c r="AE131" s="188">
        <f t="shared" ca="1" si="681"/>
        <v>-1064945.1416666666</v>
      </c>
      <c r="AF131" s="70"/>
      <c r="AG131" s="126">
        <f t="shared" ca="1" si="657"/>
        <v>625047.6283333333</v>
      </c>
      <c r="AH131" s="126"/>
      <c r="AI131" s="97">
        <f t="shared" ca="1" si="682"/>
        <v>415667</v>
      </c>
      <c r="AJ131" s="97">
        <f t="shared" ca="1" si="658"/>
        <v>3125238.1416666666</v>
      </c>
      <c r="AK131" s="151">
        <f t="shared" ca="1" si="683"/>
        <v>2322904.77</v>
      </c>
      <c r="AL131" s="188">
        <f t="shared" ca="1" si="684"/>
        <v>209380.6283333333</v>
      </c>
      <c r="AM131" s="70"/>
      <c r="AN131" s="126">
        <f t="shared" ca="1" si="659"/>
        <v>625047.6283333333</v>
      </c>
      <c r="AO131" s="126"/>
      <c r="AP131" s="97">
        <f t="shared" ca="1" si="685"/>
        <v>1427381</v>
      </c>
      <c r="AQ131" s="97">
        <f t="shared" ca="1" si="660"/>
        <v>3750285.77</v>
      </c>
      <c r="AR131" s="151">
        <f t="shared" ca="1" si="686"/>
        <v>3750285.77</v>
      </c>
      <c r="AS131" s="188">
        <f t="shared" ca="1" si="687"/>
        <v>-802333.3716666667</v>
      </c>
      <c r="AT131" s="70"/>
      <c r="AU131" s="126">
        <f t="shared" ca="1" si="661"/>
        <v>625047.6283333333</v>
      </c>
      <c r="AV131" s="126"/>
      <c r="AW131" s="97">
        <f t="shared" ca="1" si="688"/>
        <v>675219.99999999953</v>
      </c>
      <c r="AX131" s="126">
        <f t="shared" ca="1" si="662"/>
        <v>4375333.3983333334</v>
      </c>
      <c r="AY131" s="151">
        <f t="shared" ca="1" si="689"/>
        <v>4425505.7699999996</v>
      </c>
      <c r="AZ131" s="188">
        <f t="shared" ca="1" si="690"/>
        <v>-50172.371666666237</v>
      </c>
      <c r="BA131" s="144"/>
      <c r="BB131" s="126">
        <f t="shared" ca="1" si="663"/>
        <v>625047.6283333333</v>
      </c>
      <c r="BC131" s="126"/>
      <c r="BD131" s="97">
        <f t="shared" ca="1" si="691"/>
        <v>146100</v>
      </c>
      <c r="BE131" s="97">
        <f t="shared" ca="1" si="664"/>
        <v>5000381.0266666664</v>
      </c>
      <c r="BF131" s="151">
        <f t="shared" ca="1" si="692"/>
        <v>4571605.7699999996</v>
      </c>
      <c r="BG131" s="188">
        <f t="shared" ca="1" si="693"/>
        <v>478947.6283333333</v>
      </c>
      <c r="BH131" s="144"/>
      <c r="BI131" s="126">
        <f t="shared" ca="1" si="665"/>
        <v>625047.6283333333</v>
      </c>
      <c r="BJ131" s="126"/>
      <c r="BK131" s="97">
        <f t="shared" ref="BK131:BK133" ca="1" si="719">IFERROR(IF(BM131=0,0,BM131-BF131),0)</f>
        <v>0</v>
      </c>
      <c r="BL131" s="97">
        <f ca="1">SUM(E131:F131,L131:M131,S131:T131,Z131:AA131,AG131:AH131,AN131:AO131,AU131:AV131,BB131:BC131,BI131:BJ131)</f>
        <v>5625428.6549999993</v>
      </c>
      <c r="BM131" s="151">
        <f t="shared" ca="1" si="694"/>
        <v>0</v>
      </c>
      <c r="BN131" s="188">
        <f t="shared" ca="1" si="695"/>
        <v>625047.6283333333</v>
      </c>
      <c r="BO131" s="144"/>
      <c r="BP131" s="126">
        <f t="shared" ca="1" si="667"/>
        <v>625047.6283333333</v>
      </c>
      <c r="BQ131" s="126"/>
      <c r="BR131" s="97">
        <f t="shared" ca="1" si="696"/>
        <v>0</v>
      </c>
      <c r="BS131" s="97">
        <f t="shared" ca="1" si="668"/>
        <v>6250476.2833333323</v>
      </c>
      <c r="BT131" s="151">
        <f t="shared" ca="1" si="697"/>
        <v>0</v>
      </c>
      <c r="BU131" s="188">
        <f t="shared" ca="1" si="698"/>
        <v>625047.6283333333</v>
      </c>
      <c r="BV131" s="144"/>
      <c r="BW131" s="126">
        <f t="shared" ca="1" si="669"/>
        <v>625047.6283333333</v>
      </c>
      <c r="BX131" s="126"/>
      <c r="BY131" s="97">
        <f t="shared" ca="1" si="699"/>
        <v>0</v>
      </c>
      <c r="BZ131" s="97">
        <f t="shared" ca="1" si="670"/>
        <v>6875523.9116666652</v>
      </c>
      <c r="CA131" s="151">
        <f t="shared" ca="1" si="700"/>
        <v>0</v>
      </c>
      <c r="CB131" s="188">
        <f t="shared" ca="1" si="701"/>
        <v>625047.6283333333</v>
      </c>
      <c r="CC131" s="144"/>
      <c r="CD131" s="126">
        <f t="shared" ca="1" si="702"/>
        <v>625047.6283333333</v>
      </c>
      <c r="CE131" s="126"/>
      <c r="CF131" s="97">
        <f t="shared" ca="1" si="703"/>
        <v>0</v>
      </c>
      <c r="CG131" s="97">
        <f t="shared" ca="1" si="671"/>
        <v>7500571.5399999982</v>
      </c>
      <c r="CH131" s="151">
        <f t="shared" ca="1" si="704"/>
        <v>0</v>
      </c>
      <c r="CI131" s="188">
        <f t="shared" ca="1" si="705"/>
        <v>625047.6283333333</v>
      </c>
      <c r="CJ131" s="5"/>
      <c r="CK131" s="5"/>
      <c r="CL131" s="5"/>
    </row>
    <row r="132" spans="1:90" s="6" customFormat="1">
      <c r="A132" s="290" t="s">
        <v>172</v>
      </c>
      <c r="B132" s="63">
        <v>51959599</v>
      </c>
      <c r="C132" s="134">
        <f t="shared" ca="1" si="652"/>
        <v>0</v>
      </c>
      <c r="D132" s="78"/>
      <c r="E132" s="126">
        <f ca="1">$C132/COUNTA(E$1:$CI$1)</f>
        <v>0</v>
      </c>
      <c r="F132" s="126"/>
      <c r="G132" s="104">
        <f t="shared" ca="1" si="706"/>
        <v>0</v>
      </c>
      <c r="H132" s="98">
        <f t="shared" ca="1" si="713"/>
        <v>0</v>
      </c>
      <c r="I132" s="57">
        <f ca="1">IFERROR(IFERROR(VLOOKUP(TEXT($B132,0),INDIRECT("'Balance a "&amp;LEFT(E$1,3)&amp;"'!$B$3:$G$300"),4,0),VLOOKUP(VALUE($B132),INDIRECT("'Balance a "&amp;LEFT(E$1,3)&amp;"'!$B$3:$G$300"),4,0)),0)</f>
        <v>0</v>
      </c>
      <c r="J132" s="188">
        <f t="shared" ca="1" si="714"/>
        <v>0</v>
      </c>
      <c r="K132" s="70"/>
      <c r="L132" s="126">
        <f t="shared" ca="1" si="712"/>
        <v>0</v>
      </c>
      <c r="M132" s="126"/>
      <c r="N132" s="97">
        <f t="shared" ca="1" si="672"/>
        <v>0</v>
      </c>
      <c r="O132" s="98">
        <f t="shared" ca="1" si="673"/>
        <v>0</v>
      </c>
      <c r="P132" s="151">
        <f t="shared" ca="1" si="674"/>
        <v>0</v>
      </c>
      <c r="Q132" s="188">
        <f t="shared" ca="1" si="675"/>
        <v>0</v>
      </c>
      <c r="R132" s="70"/>
      <c r="S132" s="126">
        <f t="shared" ca="1" si="653"/>
        <v>0</v>
      </c>
      <c r="T132" s="126"/>
      <c r="U132" s="97">
        <f t="shared" ca="1" si="676"/>
        <v>0</v>
      </c>
      <c r="V132" s="97">
        <f t="shared" ca="1" si="654"/>
        <v>0</v>
      </c>
      <c r="W132" s="151">
        <f t="shared" ca="1" si="677"/>
        <v>0</v>
      </c>
      <c r="X132" s="188">
        <f t="shared" ca="1" si="678"/>
        <v>0</v>
      </c>
      <c r="Y132" s="70"/>
      <c r="Z132" s="126">
        <f t="shared" ca="1" si="655"/>
        <v>0</v>
      </c>
      <c r="AA132" s="126"/>
      <c r="AB132" s="97">
        <f t="shared" ca="1" si="679"/>
        <v>0</v>
      </c>
      <c r="AC132" s="97">
        <f t="shared" ca="1" si="656"/>
        <v>0</v>
      </c>
      <c r="AD132" s="151">
        <f t="shared" ca="1" si="680"/>
        <v>0</v>
      </c>
      <c r="AE132" s="188">
        <f t="shared" ca="1" si="681"/>
        <v>0</v>
      </c>
      <c r="AF132" s="70"/>
      <c r="AG132" s="126">
        <f t="shared" ca="1" si="657"/>
        <v>0</v>
      </c>
      <c r="AH132" s="126"/>
      <c r="AI132" s="97">
        <f t="shared" ca="1" si="682"/>
        <v>0</v>
      </c>
      <c r="AJ132" s="97">
        <f t="shared" ca="1" si="658"/>
        <v>0</v>
      </c>
      <c r="AK132" s="151">
        <f t="shared" ca="1" si="683"/>
        <v>0</v>
      </c>
      <c r="AL132" s="188">
        <f t="shared" ca="1" si="684"/>
        <v>0</v>
      </c>
      <c r="AM132" s="70"/>
      <c r="AN132" s="126">
        <f t="shared" ca="1" si="659"/>
        <v>0</v>
      </c>
      <c r="AO132" s="126"/>
      <c r="AP132" s="97">
        <f t="shared" ca="1" si="685"/>
        <v>0</v>
      </c>
      <c r="AQ132" s="97">
        <f t="shared" ca="1" si="660"/>
        <v>0</v>
      </c>
      <c r="AR132" s="151">
        <f t="shared" ca="1" si="686"/>
        <v>0</v>
      </c>
      <c r="AS132" s="188">
        <f t="shared" ca="1" si="687"/>
        <v>0</v>
      </c>
      <c r="AT132" s="70"/>
      <c r="AU132" s="126">
        <f t="shared" ca="1" si="661"/>
        <v>0</v>
      </c>
      <c r="AV132" s="126"/>
      <c r="AW132" s="97">
        <f t="shared" ca="1" si="688"/>
        <v>0</v>
      </c>
      <c r="AX132" s="126">
        <f t="shared" ca="1" si="662"/>
        <v>0</v>
      </c>
      <c r="AY132" s="151">
        <f t="shared" ca="1" si="689"/>
        <v>0</v>
      </c>
      <c r="AZ132" s="188">
        <f t="shared" ca="1" si="690"/>
        <v>0</v>
      </c>
      <c r="BA132" s="144"/>
      <c r="BB132" s="126">
        <f t="shared" ca="1" si="663"/>
        <v>0</v>
      </c>
      <c r="BC132" s="126"/>
      <c r="BD132" s="97">
        <f t="shared" ca="1" si="691"/>
        <v>0</v>
      </c>
      <c r="BE132" s="97">
        <f t="shared" ca="1" si="664"/>
        <v>0</v>
      </c>
      <c r="BF132" s="151">
        <f t="shared" ca="1" si="692"/>
        <v>0</v>
      </c>
      <c r="BG132" s="188">
        <f t="shared" ca="1" si="693"/>
        <v>0</v>
      </c>
      <c r="BH132" s="144"/>
      <c r="BI132" s="126">
        <f t="shared" ca="1" si="665"/>
        <v>0</v>
      </c>
      <c r="BJ132" s="126"/>
      <c r="BK132" s="97">
        <f t="shared" ca="1" si="719"/>
        <v>0</v>
      </c>
      <c r="BL132" s="97">
        <f t="shared" ca="1" si="666"/>
        <v>0</v>
      </c>
      <c r="BM132" s="151">
        <f t="shared" ca="1" si="694"/>
        <v>0</v>
      </c>
      <c r="BN132" s="188">
        <f t="shared" ca="1" si="695"/>
        <v>0</v>
      </c>
      <c r="BO132" s="144"/>
      <c r="BP132" s="126">
        <f t="shared" ca="1" si="667"/>
        <v>0</v>
      </c>
      <c r="BQ132" s="126"/>
      <c r="BR132" s="97">
        <f t="shared" ca="1" si="696"/>
        <v>0</v>
      </c>
      <c r="BS132" s="97">
        <f t="shared" ca="1" si="668"/>
        <v>0</v>
      </c>
      <c r="BT132" s="151">
        <f t="shared" ca="1" si="697"/>
        <v>0</v>
      </c>
      <c r="BU132" s="188">
        <f t="shared" ca="1" si="698"/>
        <v>0</v>
      </c>
      <c r="BV132" s="144"/>
      <c r="BW132" s="126">
        <f t="shared" ca="1" si="669"/>
        <v>0</v>
      </c>
      <c r="BX132" s="126"/>
      <c r="BY132" s="97">
        <f t="shared" ca="1" si="699"/>
        <v>0</v>
      </c>
      <c r="BZ132" s="97">
        <f t="shared" ca="1" si="670"/>
        <v>0</v>
      </c>
      <c r="CA132" s="151">
        <f t="shared" ca="1" si="700"/>
        <v>0</v>
      </c>
      <c r="CB132" s="188">
        <f t="shared" ca="1" si="701"/>
        <v>0</v>
      </c>
      <c r="CC132" s="144"/>
      <c r="CD132" s="126">
        <f t="shared" ca="1" si="702"/>
        <v>0</v>
      </c>
      <c r="CE132" s="126"/>
      <c r="CF132" s="97">
        <f t="shared" ca="1" si="703"/>
        <v>0</v>
      </c>
      <c r="CG132" s="97">
        <f t="shared" ca="1" si="671"/>
        <v>0</v>
      </c>
      <c r="CH132" s="151">
        <f t="shared" ca="1" si="704"/>
        <v>0</v>
      </c>
      <c r="CI132" s="188">
        <f t="shared" ca="1" si="705"/>
        <v>0</v>
      </c>
      <c r="CJ132" s="5"/>
      <c r="CK132" s="5"/>
      <c r="CL132" s="5"/>
    </row>
    <row r="133" spans="1:90" s="6" customFormat="1">
      <c r="A133" s="290" t="s">
        <v>431</v>
      </c>
      <c r="B133" s="63">
        <v>51991001</v>
      </c>
      <c r="C133" s="134">
        <f t="shared" ca="1" si="652"/>
        <v>0</v>
      </c>
      <c r="D133" s="78"/>
      <c r="E133" s="126">
        <f ca="1">$C133/COUNTA(E$1:$CI$1)</f>
        <v>0</v>
      </c>
      <c r="F133" s="126"/>
      <c r="G133" s="104">
        <f ca="1">IFERROR(I133,0)</f>
        <v>0</v>
      </c>
      <c r="H133" s="98">
        <f ca="1">IFERROR(E133,0)</f>
        <v>0</v>
      </c>
      <c r="I133" s="57">
        <f ca="1">IFERROR(IFERROR(VLOOKUP(TEXT($B133,0),INDIRECT("'Balance a "&amp;LEFT(E$1,3)&amp;"'!$B$3:$G$300"),4,0),VLOOKUP(VALUE($B133),INDIRECT("'Balance a "&amp;LEFT(E$1,3)&amp;"'!$B$3:$G$300"),4,0)),0)</f>
        <v>0</v>
      </c>
      <c r="J133" s="188">
        <f ca="1">IFERROR(G133-E133,0)</f>
        <v>0</v>
      </c>
      <c r="K133" s="70"/>
      <c r="L133" s="126">
        <f t="shared" ca="1" si="712"/>
        <v>0</v>
      </c>
      <c r="M133" s="126"/>
      <c r="N133" s="97">
        <f t="shared" ca="1" si="672"/>
        <v>0</v>
      </c>
      <c r="O133" s="98">
        <f t="shared" ca="1" si="673"/>
        <v>0</v>
      </c>
      <c r="P133" s="151">
        <f t="shared" ca="1" si="674"/>
        <v>0</v>
      </c>
      <c r="Q133" s="188">
        <f t="shared" ca="1" si="675"/>
        <v>0</v>
      </c>
      <c r="R133" s="70"/>
      <c r="S133" s="126">
        <f t="shared" ca="1" si="653"/>
        <v>0</v>
      </c>
      <c r="T133" s="126"/>
      <c r="U133" s="97">
        <f t="shared" ca="1" si="676"/>
        <v>0</v>
      </c>
      <c r="V133" s="97">
        <f t="shared" ca="1" si="654"/>
        <v>0</v>
      </c>
      <c r="W133" s="151">
        <f t="shared" ca="1" si="677"/>
        <v>0</v>
      </c>
      <c r="X133" s="188">
        <f t="shared" ca="1" si="678"/>
        <v>0</v>
      </c>
      <c r="Y133" s="70"/>
      <c r="Z133" s="126">
        <f t="shared" ca="1" si="655"/>
        <v>0</v>
      </c>
      <c r="AA133" s="126"/>
      <c r="AB133" s="97">
        <f t="shared" ca="1" si="679"/>
        <v>0</v>
      </c>
      <c r="AC133" s="97">
        <f t="shared" ca="1" si="656"/>
        <v>0</v>
      </c>
      <c r="AD133" s="151">
        <f t="shared" ca="1" si="680"/>
        <v>0</v>
      </c>
      <c r="AE133" s="188">
        <f t="shared" ca="1" si="681"/>
        <v>0</v>
      </c>
      <c r="AF133" s="70"/>
      <c r="AG133" s="126">
        <f t="shared" ca="1" si="657"/>
        <v>0</v>
      </c>
      <c r="AH133" s="126"/>
      <c r="AI133" s="97">
        <f t="shared" ca="1" si="682"/>
        <v>0</v>
      </c>
      <c r="AJ133" s="97">
        <f t="shared" ca="1" si="658"/>
        <v>0</v>
      </c>
      <c r="AK133" s="151">
        <f t="shared" ca="1" si="683"/>
        <v>0</v>
      </c>
      <c r="AL133" s="188">
        <f t="shared" ca="1" si="684"/>
        <v>0</v>
      </c>
      <c r="AM133" s="70"/>
      <c r="AN133" s="126">
        <f t="shared" ca="1" si="659"/>
        <v>0</v>
      </c>
      <c r="AO133" s="126"/>
      <c r="AP133" s="97">
        <f t="shared" ca="1" si="685"/>
        <v>0</v>
      </c>
      <c r="AQ133" s="97">
        <f t="shared" ca="1" si="660"/>
        <v>0</v>
      </c>
      <c r="AR133" s="151">
        <f t="shared" ca="1" si="686"/>
        <v>0</v>
      </c>
      <c r="AS133" s="188">
        <f t="shared" ca="1" si="687"/>
        <v>0</v>
      </c>
      <c r="AT133" s="70"/>
      <c r="AU133" s="126">
        <f t="shared" ca="1" si="661"/>
        <v>0</v>
      </c>
      <c r="AV133" s="126"/>
      <c r="AW133" s="97">
        <f t="shared" ca="1" si="688"/>
        <v>0</v>
      </c>
      <c r="AX133" s="126">
        <f t="shared" ca="1" si="662"/>
        <v>0</v>
      </c>
      <c r="AY133" s="151">
        <f t="shared" ca="1" si="689"/>
        <v>0</v>
      </c>
      <c r="AZ133" s="188">
        <f t="shared" ca="1" si="690"/>
        <v>0</v>
      </c>
      <c r="BA133" s="144"/>
      <c r="BB133" s="126">
        <f t="shared" ca="1" si="663"/>
        <v>0</v>
      </c>
      <c r="BC133" s="126"/>
      <c r="BD133" s="97">
        <f t="shared" ca="1" si="691"/>
        <v>0</v>
      </c>
      <c r="BE133" s="97">
        <f t="shared" ca="1" si="664"/>
        <v>0</v>
      </c>
      <c r="BF133" s="151">
        <f t="shared" ca="1" si="692"/>
        <v>0</v>
      </c>
      <c r="BG133" s="188">
        <f t="shared" ca="1" si="693"/>
        <v>0</v>
      </c>
      <c r="BH133" s="144"/>
      <c r="BI133" s="126">
        <f t="shared" ca="1" si="665"/>
        <v>0</v>
      </c>
      <c r="BJ133" s="126"/>
      <c r="BK133" s="97">
        <f t="shared" ca="1" si="719"/>
        <v>0</v>
      </c>
      <c r="BL133" s="97">
        <f t="shared" ca="1" si="666"/>
        <v>0</v>
      </c>
      <c r="BM133" s="151">
        <f t="shared" ca="1" si="694"/>
        <v>0</v>
      </c>
      <c r="BN133" s="188">
        <f t="shared" ca="1" si="695"/>
        <v>0</v>
      </c>
      <c r="BO133" s="144"/>
      <c r="BP133" s="126">
        <f t="shared" ca="1" si="667"/>
        <v>0</v>
      </c>
      <c r="BQ133" s="126"/>
      <c r="BR133" s="97">
        <f t="shared" ca="1" si="696"/>
        <v>0</v>
      </c>
      <c r="BS133" s="97">
        <f t="shared" ca="1" si="668"/>
        <v>0</v>
      </c>
      <c r="BT133" s="151">
        <f t="shared" ca="1" si="697"/>
        <v>0</v>
      </c>
      <c r="BU133" s="188">
        <f t="shared" ca="1" si="698"/>
        <v>0</v>
      </c>
      <c r="BV133" s="144"/>
      <c r="BW133" s="126">
        <f t="shared" ca="1" si="669"/>
        <v>0</v>
      </c>
      <c r="BX133" s="126"/>
      <c r="BY133" s="97">
        <f t="shared" ca="1" si="699"/>
        <v>0</v>
      </c>
      <c r="BZ133" s="97">
        <f t="shared" ca="1" si="670"/>
        <v>0</v>
      </c>
      <c r="CA133" s="151">
        <f t="shared" ca="1" si="700"/>
        <v>0</v>
      </c>
      <c r="CB133" s="188">
        <f t="shared" ca="1" si="701"/>
        <v>0</v>
      </c>
      <c r="CC133" s="144"/>
      <c r="CD133" s="126">
        <f t="shared" ca="1" si="702"/>
        <v>0</v>
      </c>
      <c r="CE133" s="126"/>
      <c r="CF133" s="97">
        <f t="shared" ca="1" si="703"/>
        <v>0</v>
      </c>
      <c r="CG133" s="97">
        <f t="shared" ca="1" si="671"/>
        <v>0</v>
      </c>
      <c r="CH133" s="151">
        <f t="shared" ca="1" si="704"/>
        <v>0</v>
      </c>
      <c r="CI133" s="188">
        <f t="shared" ca="1" si="705"/>
        <v>0</v>
      </c>
      <c r="CJ133" s="5"/>
      <c r="CK133" s="5"/>
      <c r="CL133" s="5"/>
    </row>
    <row r="134" spans="1:90" s="1" customFormat="1" ht="6.95" customHeight="1" thickBot="1">
      <c r="A134" s="61"/>
      <c r="B134" s="64"/>
      <c r="C134" s="78"/>
      <c r="D134" s="78"/>
      <c r="E134" s="100"/>
      <c r="F134" s="100"/>
      <c r="G134" s="100"/>
      <c r="H134" s="100"/>
      <c r="I134" s="101"/>
      <c r="J134" s="70"/>
      <c r="K134" s="70"/>
      <c r="L134" s="100"/>
      <c r="M134" s="100"/>
      <c r="N134" s="100"/>
      <c r="O134" s="100"/>
      <c r="P134" s="101"/>
      <c r="Q134" s="70"/>
      <c r="R134" s="70"/>
      <c r="S134" s="100"/>
      <c r="T134" s="100"/>
      <c r="U134" s="100"/>
      <c r="V134" s="100"/>
      <c r="W134" s="101"/>
      <c r="X134" s="70"/>
      <c r="Y134" s="70"/>
      <c r="Z134" s="100"/>
      <c r="AA134" s="100"/>
      <c r="AB134" s="100"/>
      <c r="AC134" s="100"/>
      <c r="AD134" s="101"/>
      <c r="AE134" s="70"/>
      <c r="AF134" s="70"/>
      <c r="AG134" s="100"/>
      <c r="AH134" s="100"/>
      <c r="AI134" s="100"/>
      <c r="AJ134" s="100"/>
      <c r="AK134" s="101"/>
      <c r="AL134" s="70"/>
      <c r="AM134" s="70"/>
      <c r="AN134" s="100"/>
      <c r="AO134" s="100"/>
      <c r="AP134" s="100"/>
      <c r="AQ134" s="100"/>
      <c r="AR134" s="101"/>
      <c r="AS134" s="70"/>
      <c r="AT134" s="70"/>
      <c r="AU134" s="100"/>
      <c r="AV134" s="100"/>
      <c r="AW134" s="163"/>
      <c r="AX134" s="163"/>
      <c r="AY134" s="164"/>
      <c r="AZ134" s="144"/>
      <c r="BA134" s="144"/>
      <c r="BB134" s="100"/>
      <c r="BC134" s="100"/>
      <c r="BD134" s="163"/>
      <c r="BE134" s="163"/>
      <c r="BF134" s="164"/>
      <c r="BG134" s="144"/>
      <c r="BH134" s="144"/>
      <c r="BI134" s="100"/>
      <c r="BJ134" s="100"/>
      <c r="BK134" s="163"/>
      <c r="BL134" s="163"/>
      <c r="BM134" s="164"/>
      <c r="BN134" s="144"/>
      <c r="BO134" s="144"/>
      <c r="BP134" s="100"/>
      <c r="BQ134" s="100"/>
      <c r="BR134" s="163"/>
      <c r="BS134" s="163"/>
      <c r="BT134" s="164"/>
      <c r="BU134" s="144"/>
      <c r="BV134" s="144"/>
      <c r="BW134" s="100"/>
      <c r="BX134" s="100"/>
      <c r="BY134" s="163"/>
      <c r="BZ134" s="163"/>
      <c r="CA134" s="164"/>
      <c r="CB134" s="144"/>
      <c r="CC134" s="144"/>
      <c r="CD134" s="100"/>
      <c r="CE134" s="100"/>
      <c r="CF134" s="163"/>
      <c r="CG134" s="163"/>
      <c r="CH134" s="164"/>
      <c r="CI134" s="144"/>
      <c r="CJ134" s="76"/>
      <c r="CK134" s="76"/>
      <c r="CL134" s="76"/>
    </row>
    <row r="135" spans="1:90" s="6" customFormat="1">
      <c r="A135" s="253" t="s">
        <v>6</v>
      </c>
      <c r="B135" s="253"/>
      <c r="C135" s="211">
        <f ca="1">SUM(C137:C147)</f>
        <v>17221851.079999998</v>
      </c>
      <c r="D135" s="73"/>
      <c r="E135" s="235">
        <f ca="1">SUM(E137:E148)</f>
        <v>1003000</v>
      </c>
      <c r="F135" s="235"/>
      <c r="G135" s="196">
        <f ca="1">SUM(G137:G148)</f>
        <v>0</v>
      </c>
      <c r="H135" s="196">
        <f ca="1">SUM(H137:H148)</f>
        <v>1003000</v>
      </c>
      <c r="I135" s="196">
        <f ca="1">SUM(I137:I148)</f>
        <v>0</v>
      </c>
      <c r="J135" s="196">
        <f ca="1">SUM(J137:J148)</f>
        <v>-1003000</v>
      </c>
      <c r="K135" s="72"/>
      <c r="L135" s="235">
        <f ca="1">SUM(L137:L148)</f>
        <v>1003000</v>
      </c>
      <c r="M135" s="235"/>
      <c r="N135" s="196">
        <f ca="1">SUM(N137:N148)</f>
        <v>1508000</v>
      </c>
      <c r="O135" s="196">
        <f ca="1">SUM(O137:O148)</f>
        <v>2006000</v>
      </c>
      <c r="P135" s="196">
        <f ca="1">SUM(P137:P148)</f>
        <v>1508000</v>
      </c>
      <c r="Q135" s="196">
        <f ca="1">SUM(Q137:Q148)</f>
        <v>-505000</v>
      </c>
      <c r="R135" s="72"/>
      <c r="S135" s="235">
        <f ca="1">SUM(S137:S148)</f>
        <v>1003000</v>
      </c>
      <c r="T135" s="235"/>
      <c r="U135" s="196">
        <f ca="1">SUM(U137:U148)</f>
        <v>954370</v>
      </c>
      <c r="V135" s="196">
        <f ca="1">SUM(V137:V148)</f>
        <v>3009000</v>
      </c>
      <c r="W135" s="196">
        <f ca="1">SUM(W137:W148)</f>
        <v>2462370</v>
      </c>
      <c r="X135" s="196">
        <f ca="1">SUM(X137:X148)</f>
        <v>48630</v>
      </c>
      <c r="Y135" s="72"/>
      <c r="Z135" s="235">
        <f ca="1">SUM(Z137:Z148)</f>
        <v>1003000</v>
      </c>
      <c r="AA135" s="235"/>
      <c r="AB135" s="196">
        <f ca="1">SUM(AB137:AB148)</f>
        <v>1373717</v>
      </c>
      <c r="AC135" s="196">
        <f ca="1">SUM(AC137:AC148)</f>
        <v>4012000</v>
      </c>
      <c r="AD135" s="196">
        <f ca="1">SUM(AD137:AD148)</f>
        <v>3836087</v>
      </c>
      <c r="AE135" s="196">
        <f ca="1">SUM(AE137:AE148)</f>
        <v>-370717</v>
      </c>
      <c r="AF135" s="72"/>
      <c r="AG135" s="235">
        <f ca="1">SUM(AG137:AG148)</f>
        <v>1003000</v>
      </c>
      <c r="AH135" s="235"/>
      <c r="AI135" s="196">
        <f ca="1">SUM(AI137:AI148)</f>
        <v>2229411.7699999996</v>
      </c>
      <c r="AJ135" s="196">
        <f ca="1">SUM(AJ137:AJ148)</f>
        <v>5015000</v>
      </c>
      <c r="AK135" s="196">
        <f ca="1">SUM(AK137:AK148)</f>
        <v>6065498.7699999996</v>
      </c>
      <c r="AL135" s="196">
        <f ca="1">SUM(AL137:AL148)</f>
        <v>-1226411.7699999996</v>
      </c>
      <c r="AM135" s="72"/>
      <c r="AN135" s="235">
        <f ca="1">SUM(AN137:AN148)</f>
        <v>1003000</v>
      </c>
      <c r="AO135" s="235"/>
      <c r="AP135" s="196">
        <f ca="1">SUM(AP137:AP148)</f>
        <v>2545426.7699999996</v>
      </c>
      <c r="AQ135" s="196">
        <f ca="1">SUM(AQ137:AQ148)</f>
        <v>6018000</v>
      </c>
      <c r="AR135" s="196">
        <f ca="1">SUM(AR137:AR148)</f>
        <v>8610925.5399999991</v>
      </c>
      <c r="AS135" s="196">
        <f ca="1">SUM(AS137:AS148)</f>
        <v>-1542426.7699999996</v>
      </c>
      <c r="AT135" s="72"/>
      <c r="AU135" s="235">
        <f ca="1">SUM(AU137:AU148)</f>
        <v>1003000</v>
      </c>
      <c r="AV135" s="235"/>
      <c r="AW135" s="161">
        <f ca="1">SUM(AW137:AW148)</f>
        <v>3116373.7700000014</v>
      </c>
      <c r="AX135" s="161">
        <f ca="1">SUM(AX137:AX148)</f>
        <v>7021000</v>
      </c>
      <c r="AY135" s="161">
        <f ca="1">SUM(AY137:AY148)</f>
        <v>11727299.310000001</v>
      </c>
      <c r="AZ135" s="161">
        <f ca="1">SUM(AZ137:AZ148)</f>
        <v>-2113373.7700000014</v>
      </c>
      <c r="BA135" s="149"/>
      <c r="BB135" s="235">
        <f ca="1">SUM(BB137:BB148)</f>
        <v>1003000</v>
      </c>
      <c r="BC135" s="235"/>
      <c r="BD135" s="161">
        <f ca="1">SUM(BD137:BD148)</f>
        <v>1529411.7699999996</v>
      </c>
      <c r="BE135" s="161">
        <f ca="1">SUM(BE137:BE148)</f>
        <v>8024000</v>
      </c>
      <c r="BF135" s="161">
        <f ca="1">SUM(BF137:BF148)</f>
        <v>13256711.08</v>
      </c>
      <c r="BG135" s="195">
        <f ca="1">SUM(BG137:BG148)</f>
        <v>-526411.76999999955</v>
      </c>
      <c r="BH135" s="149"/>
      <c r="BI135" s="242">
        <f ca="1">SUM(BI137:BI148)</f>
        <v>1003000</v>
      </c>
      <c r="BJ135" s="243"/>
      <c r="BK135" s="165">
        <f ca="1">SUM(BK137:BK148)</f>
        <v>0</v>
      </c>
      <c r="BL135" s="165">
        <f ca="1">SUM(BL137:BL148)</f>
        <v>9027000</v>
      </c>
      <c r="BM135" s="165">
        <f ca="1">SUM(BM137:BM148)</f>
        <v>0</v>
      </c>
      <c r="BN135" s="166">
        <f ca="1">SUM(BN137:BN148)</f>
        <v>1003000</v>
      </c>
      <c r="BO135" s="149"/>
      <c r="BP135" s="242">
        <f ca="1">SUM(BP137:BP148)</f>
        <v>1003000</v>
      </c>
      <c r="BQ135" s="243"/>
      <c r="BR135" s="165">
        <f ca="1">SUM(BR137:BR148)</f>
        <v>0</v>
      </c>
      <c r="BS135" s="165">
        <f ca="1">SUM(BS137:BS148)</f>
        <v>10030000</v>
      </c>
      <c r="BT135" s="165">
        <f ca="1">SUM(BT137:BT148)</f>
        <v>0</v>
      </c>
      <c r="BU135" s="166">
        <f ca="1">SUM(BU137:BU148)</f>
        <v>1003000</v>
      </c>
      <c r="BV135" s="149"/>
      <c r="BW135" s="235">
        <f ca="1">SUM(BW137:BW148)</f>
        <v>1003000</v>
      </c>
      <c r="BX135" s="235"/>
      <c r="BY135" s="161">
        <f ca="1">SUM(BY137:BY148)</f>
        <v>0</v>
      </c>
      <c r="BZ135" s="161">
        <f ca="1">SUM(BZ137:BZ148)</f>
        <v>11033000</v>
      </c>
      <c r="CA135" s="161">
        <f ca="1">SUM(CA137:CA148)</f>
        <v>0</v>
      </c>
      <c r="CB135" s="195">
        <f ca="1">SUM(CB137:CB148)</f>
        <v>1003000</v>
      </c>
      <c r="CC135" s="149"/>
      <c r="CD135" s="235">
        <f ca="1">SUM(CD137:CD148)</f>
        <v>1003000</v>
      </c>
      <c r="CE135" s="235"/>
      <c r="CF135" s="161">
        <f ca="1">SUM(CF137:CF148)</f>
        <v>0</v>
      </c>
      <c r="CG135" s="161">
        <f ca="1">SUM(CG137:CG148)</f>
        <v>12036000</v>
      </c>
      <c r="CH135" s="161">
        <f ca="1">SUM(CH137:CH148)</f>
        <v>0</v>
      </c>
      <c r="CI135" s="195">
        <f ca="1">SUM(CI137:CI148)</f>
        <v>1003000</v>
      </c>
      <c r="CJ135" s="5"/>
      <c r="CK135" s="5"/>
      <c r="CL135" s="5"/>
    </row>
    <row r="136" spans="1:90" s="6" customFormat="1">
      <c r="A136" s="133" t="s">
        <v>124</v>
      </c>
      <c r="B136" s="63">
        <v>52054801</v>
      </c>
      <c r="C136" s="134">
        <f t="shared" ref="C136:C148" ca="1" si="720">IFERROR(IFERROR(VLOOKUP(TEXT($B136,0),INDIRECT("'Balance a "&amp;LEFT(AN$1,3)&amp;"'!$B$3:$G$300"),6,0),VLOOKUP(VALUE($B136),INDIRECT("'Balance a "&amp;LEFT(AN$1,3)&amp;"'!$B$3:$G$300"),6,0)),0)*2</f>
        <v>600000</v>
      </c>
      <c r="D136" s="78"/>
      <c r="E136" s="126">
        <f ca="1">$C136/COUNTA(E$1:$CI$1)</f>
        <v>50000</v>
      </c>
      <c r="F136" s="126"/>
      <c r="G136" s="104">
        <f ca="1">IFERROR(I136,0)</f>
        <v>0</v>
      </c>
      <c r="H136" s="98">
        <f ca="1">IFERROR(E136,0)</f>
        <v>50000</v>
      </c>
      <c r="I136" s="57">
        <f ca="1">IFERROR(IFERROR(VLOOKUP(TEXT($B136,0),INDIRECT("'Balance a "&amp;LEFT(E$1,3)&amp;"'!$B$3:$G$300"),4,0),VLOOKUP(VALUE($B136),INDIRECT("'Balance a "&amp;LEFT(E$1,3)&amp;"'!$B$3:$G$300"),4,0)),0)</f>
        <v>0</v>
      </c>
      <c r="J136" s="188">
        <f ca="1">IFERROR(G136-E136,0)</f>
        <v>-50000</v>
      </c>
      <c r="K136" s="70"/>
      <c r="L136" s="126">
        <f t="shared" ref="L136" ca="1" si="721">E136+F136</f>
        <v>50000</v>
      </c>
      <c r="M136" s="126"/>
      <c r="N136" s="97">
        <f t="shared" ref="N136" ca="1" si="722">IFERROR(P136-I136,0)</f>
        <v>0</v>
      </c>
      <c r="O136" s="98">
        <f t="shared" ref="O136" ca="1" si="723">SUM(E136:F136,L136:M136)</f>
        <v>100000</v>
      </c>
      <c r="P136" s="151">
        <f ca="1">IFERROR(IFERROR(VLOOKUP(TEXT($B136,0),INDIRECT("'Balance a "&amp;LEFT(L$1,3)&amp;"'!$B$3:$G$300"),6,0),VLOOKUP(VALUE($B136),INDIRECT("'Balance a "&amp;LEFT(L$1,3)&amp;"'!$B$3:$G$300"),6,0)),0)</f>
        <v>0</v>
      </c>
      <c r="Q136" s="188">
        <f t="shared" ref="Q136" ca="1" si="724">IFERROR(SUM(L136:M136)-N136,0)</f>
        <v>50000</v>
      </c>
      <c r="R136" s="70"/>
      <c r="S136" s="126">
        <f t="shared" ref="S136" ca="1" si="725">L136+M136</f>
        <v>50000</v>
      </c>
      <c r="T136" s="126"/>
      <c r="U136" s="97">
        <f t="shared" ref="U136" ca="1" si="726">IFERROR(W136-P136,0)</f>
        <v>0</v>
      </c>
      <c r="V136" s="97">
        <f t="shared" ref="V136" ca="1" si="727">SUM(E136:F136,L136:M136,S136:T136)</f>
        <v>150000</v>
      </c>
      <c r="W136" s="151">
        <f ca="1">IFERROR(IFERROR(VLOOKUP(TEXT($B136,0),INDIRECT("'Balance a "&amp;LEFT(S$1,3)&amp;"'!$B$3:$G$300"),6,0),VLOOKUP(VALUE($B136),INDIRECT("'Balance a "&amp;LEFT(S$1,3)&amp;"'!$B$3:$G$300"),6,0)),0)</f>
        <v>0</v>
      </c>
      <c r="X136" s="188">
        <f t="shared" ref="X136" ca="1" si="728">IFERROR(SUM(S136:T136)-U136,0)</f>
        <v>50000</v>
      </c>
      <c r="Y136" s="70"/>
      <c r="Z136" s="126">
        <f t="shared" ref="Z136" ca="1" si="729">S136+T136</f>
        <v>50000</v>
      </c>
      <c r="AA136" s="126"/>
      <c r="AB136" s="97">
        <f t="shared" ref="AB136" ca="1" si="730">IFERROR(AD136-W136,0)</f>
        <v>0</v>
      </c>
      <c r="AC136" s="97">
        <f t="shared" ref="AC136" ca="1" si="731">SUM(E136:F136,L136:M136,S136:T136,Z136:AA136)</f>
        <v>200000</v>
      </c>
      <c r="AD136" s="151">
        <f ca="1">IFERROR(IFERROR(VLOOKUP(TEXT($B136,0),INDIRECT("'Balance a "&amp;LEFT(Z$1,3)&amp;"'!$B$3:$G$300"),6,0),VLOOKUP(VALUE($B136),INDIRECT("'Balance a "&amp;LEFT(Z$1,3)&amp;"'!$B$3:$G$300"),6,0)),0)</f>
        <v>0</v>
      </c>
      <c r="AE136" s="188">
        <f t="shared" ref="AE136" ca="1" si="732">IFERROR(SUM(Z136:AA136)-AB136,0)</f>
        <v>50000</v>
      </c>
      <c r="AF136" s="70"/>
      <c r="AG136" s="126">
        <f t="shared" ref="AG136" ca="1" si="733">Z136+AA136</f>
        <v>50000</v>
      </c>
      <c r="AH136" s="126"/>
      <c r="AI136" s="97">
        <f t="shared" ref="AI136" ca="1" si="734">IFERROR(AK136-AD136,0)</f>
        <v>300000</v>
      </c>
      <c r="AJ136" s="97">
        <f t="shared" ref="AJ136" ca="1" si="735">SUM(E136:F136,L136:M136,S136:T136,Z136:AA136,AG136:AH136)</f>
        <v>250000</v>
      </c>
      <c r="AK136" s="151">
        <f ca="1">IFERROR(IFERROR(VLOOKUP(TEXT($B136,0),INDIRECT("'Balance a "&amp;LEFT(AG$1,3)&amp;"'!$B$3:$G$300"),6,0),VLOOKUP(VALUE($B136),INDIRECT("'Balance a "&amp;LEFT(AG$1,3)&amp;"'!$B$3:$G$300"),6,0)),0)</f>
        <v>300000</v>
      </c>
      <c r="AL136" s="188">
        <f t="shared" ref="AL136" ca="1" si="736">IFERROR(SUM(AG136:AH136)-AI136,0)</f>
        <v>-250000</v>
      </c>
      <c r="AM136" s="70"/>
      <c r="AN136" s="126">
        <f t="shared" ref="AN136" ca="1" si="737">AG136+AH136</f>
        <v>50000</v>
      </c>
      <c r="AO136" s="126"/>
      <c r="AP136" s="97">
        <f t="shared" ref="AP136" ca="1" si="738">IFERROR(AR136-AK136,0)</f>
        <v>0</v>
      </c>
      <c r="AQ136" s="97">
        <f t="shared" ref="AQ136" ca="1" si="739">SUM(E136:F136,L136:M136,S136:T136,Z136:AA136,AG136:AH136,AN136:AO136)</f>
        <v>300000</v>
      </c>
      <c r="AR136" s="151">
        <f ca="1">IFERROR(IFERROR(VLOOKUP(TEXT($B136,0),INDIRECT("'Balance a "&amp;LEFT(AN$1,3)&amp;"'!$B$3:$G$300"),6,0),VLOOKUP(VALUE($B136),INDIRECT("'Balance a "&amp;LEFT(AN$1,3)&amp;"'!$B$3:$G$300"),6,0)),0)</f>
        <v>300000</v>
      </c>
      <c r="AS136" s="188">
        <f t="shared" ref="AS136" ca="1" si="740">IFERROR(SUM(AN136:AO136)-AP136,0)</f>
        <v>50000</v>
      </c>
      <c r="AT136" s="70"/>
      <c r="AU136" s="126">
        <f t="shared" ref="AU136" ca="1" si="741">AN136+AO136</f>
        <v>50000</v>
      </c>
      <c r="AV136" s="126"/>
      <c r="AW136" s="97">
        <f t="shared" ref="AW136" ca="1" si="742">IFERROR(AY136-AR136,0)</f>
        <v>0</v>
      </c>
      <c r="AX136" s="126">
        <f t="shared" ref="AX136" ca="1" si="743">SUM(E136:F136,L136:M136,S136:T136,Z136:AA136,AG136:AH136,AN136:AO136,AU136:AV136)</f>
        <v>350000</v>
      </c>
      <c r="AY136" s="151">
        <f ca="1">IFERROR(IFERROR(VLOOKUP(TEXT($B136,0),INDIRECT("'Balance a "&amp;LEFT(AU$1,3)&amp;"'!$B$3:$G$300"),6,0),VLOOKUP(VALUE($B136),INDIRECT("'Balance a "&amp;LEFT(AU$1,3)&amp;"'!$B$3:$G$300"),6,0)),0)</f>
        <v>300000</v>
      </c>
      <c r="AZ136" s="188">
        <f t="shared" ref="AZ136" ca="1" si="744">IFERROR(SUM(AU136:AV136)-AW136,0)</f>
        <v>50000</v>
      </c>
      <c r="BA136" s="144"/>
      <c r="BB136" s="126">
        <f t="shared" ref="BB136" ca="1" si="745">AU136+AV136</f>
        <v>50000</v>
      </c>
      <c r="BC136" s="126"/>
      <c r="BD136" s="97">
        <f t="shared" ref="BD136" ca="1" si="746">IFERROR(BF136-AY136,0)</f>
        <v>200000</v>
      </c>
      <c r="BE136" s="97">
        <f t="shared" ref="BE136" ca="1" si="747">SUM(E136:F136,L136:M136,S136:T136,Z136:AA136,AG136:AH136,AN136:AO136,AU136:AV136,BB136:BC136)</f>
        <v>400000</v>
      </c>
      <c r="BF136" s="151">
        <f ca="1">IFERROR(IFERROR(VLOOKUP(TEXT($B136,0),INDIRECT("'Balance a "&amp;LEFT(BB$1,3)&amp;"'!$B$3:$G$300"),6,0),VLOOKUP(VALUE($B136),INDIRECT("'Balance a "&amp;LEFT(BB$1,3)&amp;"'!$B$3:$G$300"),6,0)),0)</f>
        <v>500000</v>
      </c>
      <c r="BG136" s="188">
        <f t="shared" ref="BG136" ca="1" si="748">IFERROR(SUM(BB136:BC136)-BD136,0)</f>
        <v>-150000</v>
      </c>
      <c r="BH136" s="144"/>
      <c r="BI136" s="126">
        <f t="shared" ref="BI136" ca="1" si="749">BB136+BC136</f>
        <v>50000</v>
      </c>
      <c r="BJ136" s="126"/>
      <c r="BK136" s="97">
        <f t="shared" ref="BK136:BK148" ca="1" si="750">IFERROR(IF(BM136=0,0,BM136-BF136),0)</f>
        <v>0</v>
      </c>
      <c r="BL136" s="97">
        <f t="shared" ref="BL136" ca="1" si="751">SUM(E136:F136,L136:M136,S136:T136,Z136:AA136,AG136:AH136,AN136:AO136,AU136:AV136,BB136:BC136,BI136:BJ136)</f>
        <v>450000</v>
      </c>
      <c r="BM136" s="151">
        <f ca="1">IFERROR(IFERROR(VLOOKUP(TEXT($B136,0),INDIRECT("'Balance a "&amp;LEFT(BI$1,3)&amp;"'!$B$3:$G$300"),6,0),VLOOKUP(VALUE($B136),INDIRECT("'Balance a "&amp;LEFT(BI$1,3)&amp;"'!$B$3:$G$300"),6,0)),0)</f>
        <v>0</v>
      </c>
      <c r="BN136" s="188">
        <f t="shared" ref="BN136" ca="1" si="752">IFERROR(SUM(BI136:BJ136)-BK136,0)</f>
        <v>50000</v>
      </c>
      <c r="BO136" s="144"/>
      <c r="BP136" s="126">
        <f t="shared" ref="BP136" ca="1" si="753">BI136+BJ136</f>
        <v>50000</v>
      </c>
      <c r="BQ136" s="126"/>
      <c r="BR136" s="97">
        <f t="shared" ref="BR136" ca="1" si="754">IFERROR(BT136-BM136,0)</f>
        <v>0</v>
      </c>
      <c r="BS136" s="97">
        <f t="shared" ref="BS136" ca="1" si="755">SUM(E136:F136,L136:M136,S136:T136,Z136:AA136,AG136:AH136,AN136:AO136,AU136:AV136,BB136:BC136,BI136:BJ136,BP136:BQ136)</f>
        <v>500000</v>
      </c>
      <c r="BT136" s="151">
        <f ca="1">IFERROR(IFERROR(VLOOKUP(TEXT($B136,0),INDIRECT("'Balance a "&amp;LEFT(BP$1,3)&amp;"'!$B$3:$G$300"),6,0),VLOOKUP(VALUE($B136),INDIRECT("'Balance a "&amp;LEFT(BP$1,3)&amp;"'!$B$3:$G$300"),6,0)),0)</f>
        <v>0</v>
      </c>
      <c r="BU136" s="188">
        <f t="shared" ref="BU136" ca="1" si="756">IFERROR(SUM(BP136:BQ136)-BR136,0)</f>
        <v>50000</v>
      </c>
      <c r="BV136" s="144"/>
      <c r="BW136" s="126">
        <f t="shared" ref="BW136" ca="1" si="757">BP136+BQ136</f>
        <v>50000</v>
      </c>
      <c r="BX136" s="126"/>
      <c r="BY136" s="97">
        <f t="shared" ref="BY136" ca="1" si="758">IFERROR(CA136-BT136,0)</f>
        <v>0</v>
      </c>
      <c r="BZ136" s="97">
        <f t="shared" ref="BZ136" ca="1" si="759">SUM(E136:F136,L136:M136,S136:T136,Z136:AA136,AG136:AH136,AN136:AO136,AU136:AV136,BB136:BC136,BI136:BJ136,BP136:BQ136,BW136:BX136)</f>
        <v>550000</v>
      </c>
      <c r="CA136" s="151">
        <f ca="1">IFERROR(IFERROR(VLOOKUP(TEXT($B136,0),INDIRECT("'Balance a "&amp;LEFT(BW$1,3)&amp;"'!$B$3:$G$300"),6,0),VLOOKUP(VALUE($B136),INDIRECT("'Balance a "&amp;LEFT(BW$1,3)&amp;"'!$B$3:$G$300"),6,0)),0)</f>
        <v>0</v>
      </c>
      <c r="CB136" s="188">
        <f t="shared" ref="CB136" ca="1" si="760">IFERROR(SUM(BW136:BX136)-BY136,0)</f>
        <v>50000</v>
      </c>
      <c r="CC136" s="144"/>
      <c r="CD136" s="126">
        <f t="shared" ref="CD136" ca="1" si="761">BW136+BX136</f>
        <v>50000</v>
      </c>
      <c r="CE136" s="126"/>
      <c r="CF136" s="97">
        <f t="shared" ref="CF136" ca="1" si="762">IFERROR(CH136-CA136,0)</f>
        <v>0</v>
      </c>
      <c r="CG136" s="97">
        <f t="shared" ref="CG136" ca="1" si="763">SUM(E136:F136,L136:M136,S136:T136,Z136:AA136,AG136:AH136,AN136:AO136,AU136:AV136,BB136:BC136,BI136:BJ136,BP136:BQ136,BW136:BX136,CD136:CE136)</f>
        <v>600000</v>
      </c>
      <c r="CH136" s="151">
        <f ca="1">IFERROR(IFERROR(VLOOKUP(TEXT($B136,0),INDIRECT("'Balance a "&amp;LEFT(CD$1,3)&amp;"'!$B$3:$G$300"),6,0),VLOOKUP(VALUE($B136),INDIRECT("'Balance a "&amp;LEFT(CD$1,3)&amp;"'!$B$3:$G$300"),6,0)),0)</f>
        <v>0</v>
      </c>
      <c r="CI136" s="188">
        <f t="shared" ref="CI136" ca="1" si="764">IFERROR(SUM(CD136:CE136)-CF136,0)</f>
        <v>50000</v>
      </c>
      <c r="CJ136" s="5"/>
      <c r="CK136" s="5"/>
      <c r="CL136" s="5"/>
    </row>
    <row r="137" spans="1:90" s="6" customFormat="1">
      <c r="A137" s="133" t="s">
        <v>173</v>
      </c>
      <c r="B137" s="63">
        <v>52109501</v>
      </c>
      <c r="C137" s="134">
        <f t="shared" ca="1" si="720"/>
        <v>0</v>
      </c>
      <c r="D137" s="78"/>
      <c r="E137" s="126">
        <f ca="1">$C137/COUNTA(E$1:$CI$1)</f>
        <v>0</v>
      </c>
      <c r="F137" s="126"/>
      <c r="G137" s="104">
        <f t="shared" ref="G137:G148" ca="1" si="765">IFERROR(I137,0)</f>
        <v>0</v>
      </c>
      <c r="H137" s="98">
        <f t="shared" ref="H137:H148" ca="1" si="766">IFERROR(E137,0)</f>
        <v>0</v>
      </c>
      <c r="I137" s="57">
        <f t="shared" ref="I137:I147" ca="1" si="767">IFERROR(IFERROR(VLOOKUP(TEXT($B137,0),INDIRECT("'Balance a "&amp;LEFT(E$1,3)&amp;"'!$B$3:$G$300"),4,0),VLOOKUP(VALUE($B137),INDIRECT("'Balance a "&amp;LEFT(E$1,3)&amp;"'!$B$3:$G$300"),4,0)),0)</f>
        <v>0</v>
      </c>
      <c r="J137" s="188">
        <f t="shared" ref="J137:J148" ca="1" si="768">IFERROR(G137-E137,0)</f>
        <v>0</v>
      </c>
      <c r="K137" s="70"/>
      <c r="L137" s="126">
        <f t="shared" ref="L137:L148" ca="1" si="769">E137+F137</f>
        <v>0</v>
      </c>
      <c r="M137" s="126"/>
      <c r="N137" s="97">
        <f t="shared" ref="N137" ca="1" si="770">IFERROR(P137-I137,0)</f>
        <v>0</v>
      </c>
      <c r="O137" s="98">
        <f t="shared" ref="O137" ca="1" si="771">SUM(E137:F137,L137:M137)</f>
        <v>0</v>
      </c>
      <c r="P137" s="151">
        <f t="shared" ref="P137" ca="1" si="772">IFERROR(IFERROR(VLOOKUP(TEXT($B137,0),INDIRECT("'Balance a "&amp;LEFT(L$1,3)&amp;"'!$B$3:$G$300"),6,0),VLOOKUP(VALUE($B137),INDIRECT("'Balance a "&amp;LEFT(L$1,3)&amp;"'!$B$3:$G$300"),6,0)),0)</f>
        <v>0</v>
      </c>
      <c r="Q137" s="188">
        <f t="shared" ref="Q137" ca="1" si="773">IFERROR(SUM(L137:M137)-N137,0)</f>
        <v>0</v>
      </c>
      <c r="R137" s="70"/>
      <c r="S137" s="126">
        <f t="shared" ref="S137:S148" ca="1" si="774">L137+M137</f>
        <v>0</v>
      </c>
      <c r="T137" s="126"/>
      <c r="U137" s="97">
        <f t="shared" ref="U137:U148" ca="1" si="775">IFERROR(W137-P137,0)</f>
        <v>0</v>
      </c>
      <c r="V137" s="97">
        <f t="shared" ref="V137:V148" ca="1" si="776">SUM(E137:F137,L137:M137,S137:T137)</f>
        <v>0</v>
      </c>
      <c r="W137" s="151">
        <f t="shared" ref="W137:W148" ca="1" si="777">IFERROR(IFERROR(VLOOKUP(TEXT($B137,0),INDIRECT("'Balance a "&amp;LEFT(S$1,3)&amp;"'!$B$3:$G$300"),6,0),VLOOKUP(VALUE($B137),INDIRECT("'Balance a "&amp;LEFT(S$1,3)&amp;"'!$B$3:$G$300"),6,0)),0)</f>
        <v>0</v>
      </c>
      <c r="X137" s="188">
        <f t="shared" ref="X137:X148" ca="1" si="778">IFERROR(SUM(S137:T137)-U137,0)</f>
        <v>0</v>
      </c>
      <c r="Y137" s="70"/>
      <c r="Z137" s="126">
        <f t="shared" ref="Z137:Z148" ca="1" si="779">S137+T137</f>
        <v>0</v>
      </c>
      <c r="AA137" s="126"/>
      <c r="AB137" s="97">
        <f t="shared" ref="AB137:AB148" ca="1" si="780">IFERROR(AD137-W137,0)</f>
        <v>0</v>
      </c>
      <c r="AC137" s="97">
        <f t="shared" ref="AC137:AC148" ca="1" si="781">SUM(E137:F137,L137:M137,S137:T137,Z137:AA137)</f>
        <v>0</v>
      </c>
      <c r="AD137" s="151">
        <f t="shared" ref="AD137:AD148" ca="1" si="782">IFERROR(IFERROR(VLOOKUP(TEXT($B137,0),INDIRECT("'Balance a "&amp;LEFT(Z$1,3)&amp;"'!$B$3:$G$300"),6,0),VLOOKUP(VALUE($B137),INDIRECT("'Balance a "&amp;LEFT(Z$1,3)&amp;"'!$B$3:$G$300"),6,0)),0)</f>
        <v>0</v>
      </c>
      <c r="AE137" s="188">
        <f t="shared" ref="AE137:AE148" ca="1" si="783">IFERROR(SUM(Z137:AA137)-AB137,0)</f>
        <v>0</v>
      </c>
      <c r="AF137" s="70"/>
      <c r="AG137" s="126">
        <f t="shared" ref="AG137:AG148" ca="1" si="784">Z137+AA137</f>
        <v>0</v>
      </c>
      <c r="AH137" s="126"/>
      <c r="AI137" s="97">
        <f t="shared" ref="AI137:AI148" ca="1" si="785">IFERROR(AK137-AD137,0)</f>
        <v>0</v>
      </c>
      <c r="AJ137" s="97">
        <f t="shared" ref="AJ137:AJ148" ca="1" si="786">SUM(E137:F137,L137:M137,S137:T137,Z137:AA137,AG137:AH137)</f>
        <v>0</v>
      </c>
      <c r="AK137" s="151">
        <f t="shared" ref="AK137:AK148" ca="1" si="787">IFERROR(IFERROR(VLOOKUP(TEXT($B137,0),INDIRECT("'Balance a "&amp;LEFT(AG$1,3)&amp;"'!$B$3:$G$300"),6,0),VLOOKUP(VALUE($B137),INDIRECT("'Balance a "&amp;LEFT(AG$1,3)&amp;"'!$B$3:$G$300"),6,0)),0)</f>
        <v>0</v>
      </c>
      <c r="AL137" s="188">
        <f t="shared" ref="AL137:AL148" ca="1" si="788">IFERROR(SUM(AG137:AH137)-AI137,0)</f>
        <v>0</v>
      </c>
      <c r="AM137" s="70"/>
      <c r="AN137" s="126">
        <f t="shared" ref="AN137:AN148" ca="1" si="789">AG137+AH137</f>
        <v>0</v>
      </c>
      <c r="AO137" s="126"/>
      <c r="AP137" s="97">
        <f t="shared" ref="AP137:AP148" ca="1" si="790">IFERROR(AR137-AK137,0)</f>
        <v>0</v>
      </c>
      <c r="AQ137" s="97">
        <f t="shared" ref="AQ137:AQ148" ca="1" si="791">SUM(E137:F137,L137:M137,S137:T137,Z137:AA137,AG137:AH137,AN137:AO137)</f>
        <v>0</v>
      </c>
      <c r="AR137" s="151">
        <f t="shared" ref="AR137:AR148" ca="1" si="792">IFERROR(IFERROR(VLOOKUP(TEXT($B137,0),INDIRECT("'Balance a "&amp;LEFT(AN$1,3)&amp;"'!$B$3:$G$300"),6,0),VLOOKUP(VALUE($B137),INDIRECT("'Balance a "&amp;LEFT(AN$1,3)&amp;"'!$B$3:$G$300"),6,0)),0)</f>
        <v>0</v>
      </c>
      <c r="AS137" s="188">
        <f t="shared" ref="AS137:AS148" ca="1" si="793">IFERROR(SUM(AN137:AO137)-AP137,0)</f>
        <v>0</v>
      </c>
      <c r="AT137" s="70"/>
      <c r="AU137" s="126">
        <f t="shared" ref="AU137:AU148" ca="1" si="794">AN137+AO137</f>
        <v>0</v>
      </c>
      <c r="AV137" s="126"/>
      <c r="AW137" s="97">
        <f t="shared" ref="AW137:AW148" ca="1" si="795">IFERROR(AY137-AR137,0)</f>
        <v>0</v>
      </c>
      <c r="AX137" s="126">
        <f t="shared" ref="AX137:AX148" ca="1" si="796">SUM(E137:F137,L137:M137,S137:T137,Z137:AA137,AG137:AH137,AN137:AO137,AU137:AV137)</f>
        <v>0</v>
      </c>
      <c r="AY137" s="151">
        <f t="shared" ref="AY137:AY148" ca="1" si="797">IFERROR(IFERROR(VLOOKUP(TEXT($B137,0),INDIRECT("'Balance a "&amp;LEFT(AU$1,3)&amp;"'!$B$3:$G$300"),6,0),VLOOKUP(VALUE($B137),INDIRECT("'Balance a "&amp;LEFT(AU$1,3)&amp;"'!$B$3:$G$300"),6,0)),0)</f>
        <v>0</v>
      </c>
      <c r="AZ137" s="188">
        <f t="shared" ref="AZ137:AZ148" ca="1" si="798">IFERROR(SUM(AU137:AV137)-AW137,0)</f>
        <v>0</v>
      </c>
      <c r="BA137" s="144"/>
      <c r="BB137" s="126">
        <f t="shared" ref="BB137:BB148" ca="1" si="799">AU137+AV137</f>
        <v>0</v>
      </c>
      <c r="BC137" s="126"/>
      <c r="BD137" s="97">
        <f t="shared" ref="BD137:BD148" ca="1" si="800">IFERROR(BF137-AY137,0)</f>
        <v>0</v>
      </c>
      <c r="BE137" s="97">
        <f t="shared" ref="BE137:BE148" ca="1" si="801">SUM(E137:F137,L137:M137,S137:T137,Z137:AA137,AG137:AH137,AN137:AO137,AU137:AV137,BB137:BC137)</f>
        <v>0</v>
      </c>
      <c r="BF137" s="151">
        <f t="shared" ref="BF137:BF148" ca="1" si="802">IFERROR(IFERROR(VLOOKUP(TEXT($B137,0),INDIRECT("'Balance a "&amp;LEFT(BB$1,3)&amp;"'!$B$3:$G$300"),6,0),VLOOKUP(VALUE($B137),INDIRECT("'Balance a "&amp;LEFT(BB$1,3)&amp;"'!$B$3:$G$300"),6,0)),0)</f>
        <v>0</v>
      </c>
      <c r="BG137" s="188">
        <f t="shared" ref="BG137:BG148" ca="1" si="803">IFERROR(SUM(BB137:BC137)-BD137,0)</f>
        <v>0</v>
      </c>
      <c r="BH137" s="144"/>
      <c r="BI137" s="126">
        <f t="shared" ref="BI137:BI148" ca="1" si="804">BB137+BC137</f>
        <v>0</v>
      </c>
      <c r="BJ137" s="126"/>
      <c r="BK137" s="97">
        <f t="shared" ca="1" si="750"/>
        <v>0</v>
      </c>
      <c r="BL137" s="97">
        <f t="shared" ref="BL137:BL148" ca="1" si="805">SUM(E137:F137,L137:M137,S137:T137,Z137:AA137,AG137:AH137,AN137:AO137,AU137:AV137,BB137:BC137,BI137:BJ137)</f>
        <v>0</v>
      </c>
      <c r="BM137" s="151">
        <f t="shared" ref="BM137:BM148" ca="1" si="806">IFERROR(IFERROR(VLOOKUP(TEXT($B137,0),INDIRECT("'Balance a "&amp;LEFT(BI$1,3)&amp;"'!$B$3:$G$300"),6,0),VLOOKUP(VALUE($B137),INDIRECT("'Balance a "&amp;LEFT(BI$1,3)&amp;"'!$B$3:$G$300"),6,0)),0)</f>
        <v>0</v>
      </c>
      <c r="BN137" s="188">
        <f t="shared" ref="BN137:BN148" ca="1" si="807">IFERROR(SUM(BI137:BJ137)-BK137,0)</f>
        <v>0</v>
      </c>
      <c r="BO137" s="144"/>
      <c r="BP137" s="126">
        <f t="shared" ref="BP137:BP148" ca="1" si="808">BI137+BJ137</f>
        <v>0</v>
      </c>
      <c r="BQ137" s="126"/>
      <c r="BR137" s="97">
        <f t="shared" ref="BR137:BR148" ca="1" si="809">IFERROR(BT137-BM137,0)</f>
        <v>0</v>
      </c>
      <c r="BS137" s="97">
        <f t="shared" ref="BS137:BS148" ca="1" si="810">SUM(E137:F137,L137:M137,S137:T137,Z137:AA137,AG137:AH137,AN137:AO137,AU137:AV137,BB137:BC137,BI137:BJ137,BP137:BQ137)</f>
        <v>0</v>
      </c>
      <c r="BT137" s="151">
        <f t="shared" ref="BT137:BT148" ca="1" si="811">IFERROR(IFERROR(VLOOKUP(TEXT($B137,0),INDIRECT("'Balance a "&amp;LEFT(BP$1,3)&amp;"'!$B$3:$G$300"),6,0),VLOOKUP(VALUE($B137),INDIRECT("'Balance a "&amp;LEFT(BP$1,3)&amp;"'!$B$3:$G$300"),6,0)),0)</f>
        <v>0</v>
      </c>
      <c r="BU137" s="188">
        <f t="shared" ref="BU137:BU148" ca="1" si="812">IFERROR(SUM(BP137:BQ137)-BR137,0)</f>
        <v>0</v>
      </c>
      <c r="BV137" s="144"/>
      <c r="BW137" s="126">
        <f t="shared" ref="BW137:BW148" ca="1" si="813">BP137+BQ137</f>
        <v>0</v>
      </c>
      <c r="BX137" s="126"/>
      <c r="BY137" s="97">
        <f t="shared" ref="BY137:BY148" ca="1" si="814">IFERROR(CA137-BT137,0)</f>
        <v>0</v>
      </c>
      <c r="BZ137" s="97">
        <f t="shared" ref="BZ137:BZ148" ca="1" si="815">SUM(E137:F137,L137:M137,S137:T137,Z137:AA137,AG137:AH137,AN137:AO137,AU137:AV137,BB137:BC137,BI137:BJ137,BP137:BQ137,BW137:BX137)</f>
        <v>0</v>
      </c>
      <c r="CA137" s="151">
        <f t="shared" ref="CA137:CA148" ca="1" si="816">IFERROR(IFERROR(VLOOKUP(TEXT($B137,0),INDIRECT("'Balance a "&amp;LEFT(BW$1,3)&amp;"'!$B$3:$G$300"),6,0),VLOOKUP(VALUE($B137),INDIRECT("'Balance a "&amp;LEFT(BW$1,3)&amp;"'!$B$3:$G$300"),6,0)),0)</f>
        <v>0</v>
      </c>
      <c r="CB137" s="188">
        <f t="shared" ref="CB137:CB148" ca="1" si="817">IFERROR(SUM(BW137:BX137)-BY137,0)</f>
        <v>0</v>
      </c>
      <c r="CC137" s="144"/>
      <c r="CD137" s="126">
        <f t="shared" ref="CD137:CD148" ca="1" si="818">BW137+BX137</f>
        <v>0</v>
      </c>
      <c r="CE137" s="126"/>
      <c r="CF137" s="97">
        <f t="shared" ref="CF137:CF148" ca="1" si="819">IFERROR(CH137-CA137,0)</f>
        <v>0</v>
      </c>
      <c r="CG137" s="97">
        <f t="shared" ref="CG137:CG148" ca="1" si="820">SUM(E137:F137,L137:M137,S137:T137,Z137:AA137,AG137:AH137,AN137:AO137,AU137:AV137,BB137:BC137,BI137:BJ137,BP137:BQ137,BW137:BX137,CD137:CE137)</f>
        <v>0</v>
      </c>
      <c r="CH137" s="151">
        <f t="shared" ref="CH137:CH148" ca="1" si="821">IFERROR(IFERROR(VLOOKUP(TEXT($B137,0),INDIRECT("'Balance a "&amp;LEFT(CD$1,3)&amp;"'!$B$3:$G$300"),6,0),VLOOKUP(VALUE($B137),INDIRECT("'Balance a "&amp;LEFT(CD$1,3)&amp;"'!$B$3:$G$300"),6,0)),0)</f>
        <v>0</v>
      </c>
      <c r="CI137" s="188">
        <f t="shared" ref="CI137:CI148" ca="1" si="822">IFERROR(SUM(CD137:CE137)-CF137,0)</f>
        <v>0</v>
      </c>
      <c r="CJ137" s="5"/>
      <c r="CK137" s="5"/>
      <c r="CL137" s="5"/>
    </row>
    <row r="138" spans="1:90" s="6" customFormat="1">
      <c r="A138" s="133" t="s">
        <v>139</v>
      </c>
      <c r="B138" s="63">
        <v>52350501</v>
      </c>
      <c r="C138" s="134">
        <f t="shared" ca="1" si="720"/>
        <v>0</v>
      </c>
      <c r="D138" s="78"/>
      <c r="E138" s="126">
        <f ca="1">$C138/COUNTA(E$1:$CI$1)</f>
        <v>0</v>
      </c>
      <c r="F138" s="126"/>
      <c r="G138" s="104">
        <f t="shared" ca="1" si="765"/>
        <v>0</v>
      </c>
      <c r="H138" s="98">
        <f t="shared" ca="1" si="766"/>
        <v>0</v>
      </c>
      <c r="I138" s="57">
        <f t="shared" ca="1" si="767"/>
        <v>0</v>
      </c>
      <c r="J138" s="188">
        <f t="shared" ca="1" si="768"/>
        <v>0</v>
      </c>
      <c r="K138" s="70"/>
      <c r="L138" s="126">
        <f t="shared" ca="1" si="769"/>
        <v>0</v>
      </c>
      <c r="M138" s="126"/>
      <c r="N138" s="97">
        <f t="shared" ref="N138:N148" ca="1" si="823">IFERROR(P138-I138,0)</f>
        <v>0</v>
      </c>
      <c r="O138" s="98">
        <f t="shared" ref="O138:O148" ca="1" si="824">SUM(E138:F138,L138:M138)</f>
        <v>0</v>
      </c>
      <c r="P138" s="151">
        <f t="shared" ref="P138:P148" ca="1" si="825">IFERROR(IFERROR(VLOOKUP(TEXT($B138,0),INDIRECT("'Balance a "&amp;LEFT(L$1,3)&amp;"'!$B$3:$G$300"),6,0),VLOOKUP(VALUE($B138),INDIRECT("'Balance a "&amp;LEFT(L$1,3)&amp;"'!$B$3:$G$300"),6,0)),0)</f>
        <v>0</v>
      </c>
      <c r="Q138" s="188">
        <f t="shared" ref="Q138:Q148" ca="1" si="826">IFERROR(SUM(L138:M138)-N138,0)</f>
        <v>0</v>
      </c>
      <c r="R138" s="70"/>
      <c r="S138" s="126">
        <f t="shared" ca="1" si="774"/>
        <v>0</v>
      </c>
      <c r="T138" s="126"/>
      <c r="U138" s="97">
        <f t="shared" ca="1" si="775"/>
        <v>0</v>
      </c>
      <c r="V138" s="97">
        <f t="shared" ca="1" si="776"/>
        <v>0</v>
      </c>
      <c r="W138" s="151">
        <f t="shared" ca="1" si="777"/>
        <v>0</v>
      </c>
      <c r="X138" s="188">
        <f t="shared" ca="1" si="778"/>
        <v>0</v>
      </c>
      <c r="Y138" s="70"/>
      <c r="Z138" s="126">
        <f t="shared" ca="1" si="779"/>
        <v>0</v>
      </c>
      <c r="AA138" s="126"/>
      <c r="AB138" s="97">
        <f t="shared" ca="1" si="780"/>
        <v>0</v>
      </c>
      <c r="AC138" s="97">
        <f t="shared" ca="1" si="781"/>
        <v>0</v>
      </c>
      <c r="AD138" s="151">
        <f t="shared" ca="1" si="782"/>
        <v>0</v>
      </c>
      <c r="AE138" s="188">
        <f t="shared" ca="1" si="783"/>
        <v>0</v>
      </c>
      <c r="AF138" s="70"/>
      <c r="AG138" s="126">
        <f t="shared" ca="1" si="784"/>
        <v>0</v>
      </c>
      <c r="AH138" s="126"/>
      <c r="AI138" s="97">
        <f t="shared" ca="1" si="785"/>
        <v>0</v>
      </c>
      <c r="AJ138" s="97">
        <f t="shared" ca="1" si="786"/>
        <v>0</v>
      </c>
      <c r="AK138" s="151">
        <f t="shared" ca="1" si="787"/>
        <v>0</v>
      </c>
      <c r="AL138" s="188">
        <f t="shared" ca="1" si="788"/>
        <v>0</v>
      </c>
      <c r="AM138" s="70"/>
      <c r="AN138" s="126">
        <f t="shared" ca="1" si="789"/>
        <v>0</v>
      </c>
      <c r="AO138" s="126"/>
      <c r="AP138" s="97">
        <f t="shared" ca="1" si="790"/>
        <v>0</v>
      </c>
      <c r="AQ138" s="97">
        <f t="shared" ca="1" si="791"/>
        <v>0</v>
      </c>
      <c r="AR138" s="151">
        <f t="shared" ca="1" si="792"/>
        <v>0</v>
      </c>
      <c r="AS138" s="188">
        <f t="shared" ca="1" si="793"/>
        <v>0</v>
      </c>
      <c r="AT138" s="70"/>
      <c r="AU138" s="126">
        <f t="shared" ca="1" si="794"/>
        <v>0</v>
      </c>
      <c r="AV138" s="126"/>
      <c r="AW138" s="97">
        <f t="shared" ca="1" si="795"/>
        <v>0</v>
      </c>
      <c r="AX138" s="126">
        <f t="shared" ca="1" si="796"/>
        <v>0</v>
      </c>
      <c r="AY138" s="151">
        <f t="shared" ca="1" si="797"/>
        <v>0</v>
      </c>
      <c r="AZ138" s="188">
        <f t="shared" ca="1" si="798"/>
        <v>0</v>
      </c>
      <c r="BA138" s="144"/>
      <c r="BB138" s="126">
        <f t="shared" ca="1" si="799"/>
        <v>0</v>
      </c>
      <c r="BC138" s="126"/>
      <c r="BD138" s="97">
        <f t="shared" ca="1" si="800"/>
        <v>0</v>
      </c>
      <c r="BE138" s="97">
        <f t="shared" ca="1" si="801"/>
        <v>0</v>
      </c>
      <c r="BF138" s="151">
        <f t="shared" ca="1" si="802"/>
        <v>0</v>
      </c>
      <c r="BG138" s="188">
        <f t="shared" ca="1" si="803"/>
        <v>0</v>
      </c>
      <c r="BH138" s="144"/>
      <c r="BI138" s="126">
        <f t="shared" ca="1" si="804"/>
        <v>0</v>
      </c>
      <c r="BJ138" s="126"/>
      <c r="BK138" s="97">
        <f t="shared" ca="1" si="750"/>
        <v>0</v>
      </c>
      <c r="BL138" s="97">
        <f t="shared" ca="1" si="805"/>
        <v>0</v>
      </c>
      <c r="BM138" s="151">
        <f t="shared" ca="1" si="806"/>
        <v>0</v>
      </c>
      <c r="BN138" s="188">
        <f t="shared" ca="1" si="807"/>
        <v>0</v>
      </c>
      <c r="BO138" s="144"/>
      <c r="BP138" s="126">
        <f t="shared" ca="1" si="808"/>
        <v>0</v>
      </c>
      <c r="BQ138" s="126"/>
      <c r="BR138" s="97">
        <f t="shared" ca="1" si="809"/>
        <v>0</v>
      </c>
      <c r="BS138" s="97">
        <f t="shared" ca="1" si="810"/>
        <v>0</v>
      </c>
      <c r="BT138" s="151">
        <f t="shared" ca="1" si="811"/>
        <v>0</v>
      </c>
      <c r="BU138" s="188">
        <f t="shared" ca="1" si="812"/>
        <v>0</v>
      </c>
      <c r="BV138" s="144"/>
      <c r="BW138" s="126">
        <f t="shared" ca="1" si="813"/>
        <v>0</v>
      </c>
      <c r="BX138" s="126"/>
      <c r="BY138" s="97">
        <f t="shared" ca="1" si="814"/>
        <v>0</v>
      </c>
      <c r="BZ138" s="97">
        <f t="shared" ca="1" si="815"/>
        <v>0</v>
      </c>
      <c r="CA138" s="151">
        <f t="shared" ca="1" si="816"/>
        <v>0</v>
      </c>
      <c r="CB138" s="188">
        <f t="shared" ca="1" si="817"/>
        <v>0</v>
      </c>
      <c r="CC138" s="144"/>
      <c r="CD138" s="126">
        <f t="shared" ca="1" si="818"/>
        <v>0</v>
      </c>
      <c r="CE138" s="126"/>
      <c r="CF138" s="97">
        <f t="shared" ca="1" si="819"/>
        <v>0</v>
      </c>
      <c r="CG138" s="97">
        <f t="shared" ca="1" si="820"/>
        <v>0</v>
      </c>
      <c r="CH138" s="151">
        <f t="shared" ca="1" si="821"/>
        <v>0</v>
      </c>
      <c r="CI138" s="188">
        <f t="shared" ca="1" si="822"/>
        <v>0</v>
      </c>
      <c r="CJ138" s="5"/>
      <c r="CK138" s="5"/>
      <c r="CL138" s="5"/>
    </row>
    <row r="139" spans="1:90" s="6" customFormat="1">
      <c r="A139" s="133" t="s">
        <v>467</v>
      </c>
      <c r="B139" s="63">
        <v>52355001</v>
      </c>
      <c r="C139" s="134">
        <f t="shared" ca="1" si="720"/>
        <v>36000</v>
      </c>
      <c r="D139" s="78"/>
      <c r="E139" s="126">
        <f ca="1">$C139/COUNTA(E$1:$CI$1)</f>
        <v>3000</v>
      </c>
      <c r="F139" s="126"/>
      <c r="G139" s="104">
        <f t="shared" ref="G139" ca="1" si="827">IFERROR(I139,0)</f>
        <v>0</v>
      </c>
      <c r="H139" s="98">
        <f t="shared" ref="H139" ca="1" si="828">IFERROR(E139,0)</f>
        <v>3000</v>
      </c>
      <c r="I139" s="57">
        <f t="shared" ref="I139" ca="1" si="829">IFERROR(IFERROR(VLOOKUP(TEXT($B139,0),INDIRECT("'Balance a "&amp;LEFT(E$1,3)&amp;"'!$B$3:$G$300"),4,0),VLOOKUP(VALUE($B139),INDIRECT("'Balance a "&amp;LEFT(E$1,3)&amp;"'!$B$3:$G$300"),4,0)),0)</f>
        <v>0</v>
      </c>
      <c r="J139" s="188">
        <f t="shared" ref="J139" ca="1" si="830">IFERROR(G139-E139,0)</f>
        <v>-3000</v>
      </c>
      <c r="K139" s="70"/>
      <c r="L139" s="126">
        <f t="shared" ca="1" si="769"/>
        <v>3000</v>
      </c>
      <c r="M139" s="126"/>
      <c r="N139" s="97">
        <f t="shared" ca="1" si="823"/>
        <v>8000</v>
      </c>
      <c r="O139" s="98">
        <f t="shared" ca="1" si="824"/>
        <v>6000</v>
      </c>
      <c r="P139" s="151">
        <f t="shared" ca="1" si="825"/>
        <v>8000</v>
      </c>
      <c r="Q139" s="188">
        <f t="shared" ca="1" si="826"/>
        <v>-5000</v>
      </c>
      <c r="R139" s="70"/>
      <c r="S139" s="126">
        <f t="shared" ca="1" si="774"/>
        <v>3000</v>
      </c>
      <c r="T139" s="126"/>
      <c r="U139" s="97">
        <f t="shared" ca="1" si="775"/>
        <v>0</v>
      </c>
      <c r="V139" s="97">
        <f t="shared" ca="1" si="776"/>
        <v>9000</v>
      </c>
      <c r="W139" s="151">
        <f t="shared" ca="1" si="777"/>
        <v>8000</v>
      </c>
      <c r="X139" s="188">
        <f t="shared" ca="1" si="778"/>
        <v>3000</v>
      </c>
      <c r="Y139" s="70"/>
      <c r="Z139" s="126">
        <f t="shared" ca="1" si="779"/>
        <v>3000</v>
      </c>
      <c r="AA139" s="126"/>
      <c r="AB139" s="97">
        <f t="shared" ca="1" si="780"/>
        <v>10000</v>
      </c>
      <c r="AC139" s="97">
        <f t="shared" ca="1" si="781"/>
        <v>12000</v>
      </c>
      <c r="AD139" s="151">
        <f t="shared" ca="1" si="782"/>
        <v>18000</v>
      </c>
      <c r="AE139" s="188">
        <f t="shared" ca="1" si="783"/>
        <v>-7000</v>
      </c>
      <c r="AF139" s="70"/>
      <c r="AG139" s="126">
        <f t="shared" ca="1" si="784"/>
        <v>3000</v>
      </c>
      <c r="AH139" s="126"/>
      <c r="AI139" s="97">
        <f t="shared" ca="1" si="785"/>
        <v>0</v>
      </c>
      <c r="AJ139" s="97">
        <f t="shared" ca="1" si="786"/>
        <v>15000</v>
      </c>
      <c r="AK139" s="151">
        <f t="shared" ca="1" si="787"/>
        <v>18000</v>
      </c>
      <c r="AL139" s="188">
        <f t="shared" ca="1" si="788"/>
        <v>3000</v>
      </c>
      <c r="AM139" s="70"/>
      <c r="AN139" s="126">
        <f t="shared" ca="1" si="789"/>
        <v>3000</v>
      </c>
      <c r="AO139" s="126"/>
      <c r="AP139" s="97">
        <f t="shared" ca="1" si="790"/>
        <v>0</v>
      </c>
      <c r="AQ139" s="97">
        <f t="shared" ca="1" si="791"/>
        <v>18000</v>
      </c>
      <c r="AR139" s="151">
        <f t="shared" ca="1" si="792"/>
        <v>18000</v>
      </c>
      <c r="AS139" s="188">
        <f t="shared" ca="1" si="793"/>
        <v>3000</v>
      </c>
      <c r="AT139" s="70"/>
      <c r="AU139" s="126">
        <f t="shared" ca="1" si="794"/>
        <v>3000</v>
      </c>
      <c r="AV139" s="126"/>
      <c r="AW139" s="97">
        <f t="shared" ca="1" si="795"/>
        <v>0</v>
      </c>
      <c r="AX139" s="126">
        <f t="shared" ca="1" si="796"/>
        <v>21000</v>
      </c>
      <c r="AY139" s="151">
        <f t="shared" ca="1" si="797"/>
        <v>18000</v>
      </c>
      <c r="AZ139" s="188">
        <f t="shared" ca="1" si="798"/>
        <v>3000</v>
      </c>
      <c r="BA139" s="144"/>
      <c r="BB139" s="126">
        <f t="shared" ca="1" si="799"/>
        <v>3000</v>
      </c>
      <c r="BC139" s="126"/>
      <c r="BD139" s="97">
        <f t="shared" ca="1" si="800"/>
        <v>0</v>
      </c>
      <c r="BE139" s="97">
        <f t="shared" ca="1" si="801"/>
        <v>24000</v>
      </c>
      <c r="BF139" s="151">
        <f t="shared" ca="1" si="802"/>
        <v>18000</v>
      </c>
      <c r="BG139" s="188">
        <f t="shared" ca="1" si="803"/>
        <v>3000</v>
      </c>
      <c r="BH139" s="144"/>
      <c r="BI139" s="126">
        <f t="shared" ca="1" si="804"/>
        <v>3000</v>
      </c>
      <c r="BJ139" s="126"/>
      <c r="BK139" s="97">
        <f t="shared" ca="1" si="750"/>
        <v>0</v>
      </c>
      <c r="BL139" s="97">
        <f t="shared" ca="1" si="805"/>
        <v>27000</v>
      </c>
      <c r="BM139" s="151">
        <f t="shared" ca="1" si="806"/>
        <v>0</v>
      </c>
      <c r="BN139" s="188">
        <f t="shared" ca="1" si="807"/>
        <v>3000</v>
      </c>
      <c r="BO139" s="144"/>
      <c r="BP139" s="126">
        <f t="shared" ca="1" si="808"/>
        <v>3000</v>
      </c>
      <c r="BQ139" s="126"/>
      <c r="BR139" s="97">
        <f t="shared" ca="1" si="809"/>
        <v>0</v>
      </c>
      <c r="BS139" s="97">
        <f t="shared" ca="1" si="810"/>
        <v>30000</v>
      </c>
      <c r="BT139" s="151">
        <f t="shared" ca="1" si="811"/>
        <v>0</v>
      </c>
      <c r="BU139" s="188">
        <f t="shared" ca="1" si="812"/>
        <v>3000</v>
      </c>
      <c r="BV139" s="144"/>
      <c r="BW139" s="126">
        <f t="shared" ca="1" si="813"/>
        <v>3000</v>
      </c>
      <c r="BX139" s="126"/>
      <c r="BY139" s="97">
        <f t="shared" ca="1" si="814"/>
        <v>0</v>
      </c>
      <c r="BZ139" s="97">
        <f t="shared" ca="1" si="815"/>
        <v>33000</v>
      </c>
      <c r="CA139" s="151">
        <f t="shared" ca="1" si="816"/>
        <v>0</v>
      </c>
      <c r="CB139" s="188">
        <f t="shared" ca="1" si="817"/>
        <v>3000</v>
      </c>
      <c r="CC139" s="144"/>
      <c r="CD139" s="126">
        <f t="shared" ca="1" si="818"/>
        <v>3000</v>
      </c>
      <c r="CE139" s="126"/>
      <c r="CF139" s="97">
        <f t="shared" ca="1" si="819"/>
        <v>0</v>
      </c>
      <c r="CG139" s="97">
        <f t="shared" ca="1" si="820"/>
        <v>36000</v>
      </c>
      <c r="CH139" s="151">
        <f t="shared" ca="1" si="821"/>
        <v>0</v>
      </c>
      <c r="CI139" s="188">
        <f t="shared" ca="1" si="822"/>
        <v>3000</v>
      </c>
      <c r="CJ139" s="5"/>
      <c r="CK139" s="5"/>
      <c r="CL139" s="5"/>
    </row>
    <row r="140" spans="1:90" s="6" customFormat="1">
      <c r="A140" s="207" t="s">
        <v>174</v>
      </c>
      <c r="B140" s="63">
        <v>52356001</v>
      </c>
      <c r="C140" s="134">
        <f t="shared" ca="1" si="720"/>
        <v>17185851.079999998</v>
      </c>
      <c r="D140" s="78"/>
      <c r="E140" s="126">
        <v>1000000</v>
      </c>
      <c r="F140" s="126"/>
      <c r="G140" s="104">
        <f t="shared" ca="1" si="765"/>
        <v>0</v>
      </c>
      <c r="H140" s="98">
        <f t="shared" si="766"/>
        <v>1000000</v>
      </c>
      <c r="I140" s="57">
        <f t="shared" ca="1" si="767"/>
        <v>0</v>
      </c>
      <c r="J140" s="188">
        <f t="shared" ca="1" si="768"/>
        <v>-1000000</v>
      </c>
      <c r="K140" s="70"/>
      <c r="L140" s="126">
        <f t="shared" si="769"/>
        <v>1000000</v>
      </c>
      <c r="M140" s="126"/>
      <c r="N140" s="97">
        <f t="shared" ca="1" si="823"/>
        <v>1500000</v>
      </c>
      <c r="O140" s="98">
        <f t="shared" si="824"/>
        <v>2000000</v>
      </c>
      <c r="P140" s="151">
        <f t="shared" ca="1" si="825"/>
        <v>1500000</v>
      </c>
      <c r="Q140" s="188">
        <f t="shared" ca="1" si="826"/>
        <v>-500000</v>
      </c>
      <c r="R140" s="70"/>
      <c r="S140" s="126">
        <f t="shared" si="774"/>
        <v>1000000</v>
      </c>
      <c r="T140" s="126"/>
      <c r="U140" s="97">
        <f t="shared" ca="1" si="775"/>
        <v>954370</v>
      </c>
      <c r="V140" s="97">
        <f t="shared" si="776"/>
        <v>3000000</v>
      </c>
      <c r="W140" s="151">
        <f t="shared" ca="1" si="777"/>
        <v>2454370</v>
      </c>
      <c r="X140" s="188">
        <f t="shared" ca="1" si="778"/>
        <v>45630</v>
      </c>
      <c r="Y140" s="70"/>
      <c r="Z140" s="126">
        <f t="shared" si="779"/>
        <v>1000000</v>
      </c>
      <c r="AA140" s="126"/>
      <c r="AB140" s="97">
        <f t="shared" ca="1" si="780"/>
        <v>1363717</v>
      </c>
      <c r="AC140" s="97">
        <f t="shared" si="781"/>
        <v>4000000</v>
      </c>
      <c r="AD140" s="151">
        <f t="shared" ca="1" si="782"/>
        <v>3818087</v>
      </c>
      <c r="AE140" s="188">
        <f t="shared" ca="1" si="783"/>
        <v>-363717</v>
      </c>
      <c r="AF140" s="70"/>
      <c r="AG140" s="126">
        <f t="shared" si="784"/>
        <v>1000000</v>
      </c>
      <c r="AH140" s="126"/>
      <c r="AI140" s="97">
        <f t="shared" ca="1" si="785"/>
        <v>2229411.7699999996</v>
      </c>
      <c r="AJ140" s="97">
        <f t="shared" si="786"/>
        <v>5000000</v>
      </c>
      <c r="AK140" s="151">
        <f t="shared" ca="1" si="787"/>
        <v>6047498.7699999996</v>
      </c>
      <c r="AL140" s="188">
        <f t="shared" ca="1" si="788"/>
        <v>-1229411.7699999996</v>
      </c>
      <c r="AM140" s="70"/>
      <c r="AN140" s="126">
        <f t="shared" si="789"/>
        <v>1000000</v>
      </c>
      <c r="AO140" s="126"/>
      <c r="AP140" s="97">
        <f t="shared" ca="1" si="790"/>
        <v>2545426.7699999996</v>
      </c>
      <c r="AQ140" s="97">
        <f t="shared" si="791"/>
        <v>6000000</v>
      </c>
      <c r="AR140" s="151">
        <f t="shared" ca="1" si="792"/>
        <v>8592925.5399999991</v>
      </c>
      <c r="AS140" s="188">
        <f t="shared" ca="1" si="793"/>
        <v>-1545426.7699999996</v>
      </c>
      <c r="AT140" s="70"/>
      <c r="AU140" s="126">
        <f t="shared" si="794"/>
        <v>1000000</v>
      </c>
      <c r="AV140" s="126"/>
      <c r="AW140" s="97">
        <f t="shared" ca="1" si="795"/>
        <v>3116373.7700000014</v>
      </c>
      <c r="AX140" s="126">
        <f t="shared" si="796"/>
        <v>7000000</v>
      </c>
      <c r="AY140" s="151">
        <f t="shared" ca="1" si="797"/>
        <v>11709299.310000001</v>
      </c>
      <c r="AZ140" s="188">
        <f t="shared" ca="1" si="798"/>
        <v>-2116373.7700000014</v>
      </c>
      <c r="BA140" s="144"/>
      <c r="BB140" s="126">
        <f t="shared" si="799"/>
        <v>1000000</v>
      </c>
      <c r="BC140" s="126"/>
      <c r="BD140" s="97">
        <f t="shared" ca="1" si="800"/>
        <v>1529411.7699999996</v>
      </c>
      <c r="BE140" s="97">
        <f t="shared" si="801"/>
        <v>8000000</v>
      </c>
      <c r="BF140" s="151">
        <f t="shared" ca="1" si="802"/>
        <v>13238711.08</v>
      </c>
      <c r="BG140" s="188">
        <f t="shared" ca="1" si="803"/>
        <v>-529411.76999999955</v>
      </c>
      <c r="BH140" s="144"/>
      <c r="BI140" s="126">
        <f t="shared" si="804"/>
        <v>1000000</v>
      </c>
      <c r="BJ140" s="126"/>
      <c r="BK140" s="97">
        <f t="shared" ca="1" si="750"/>
        <v>0</v>
      </c>
      <c r="BL140" s="97">
        <f t="shared" si="805"/>
        <v>9000000</v>
      </c>
      <c r="BM140" s="151">
        <f t="shared" ca="1" si="806"/>
        <v>0</v>
      </c>
      <c r="BN140" s="188">
        <f t="shared" ca="1" si="807"/>
        <v>1000000</v>
      </c>
      <c r="BO140" s="144"/>
      <c r="BP140" s="126">
        <f t="shared" si="808"/>
        <v>1000000</v>
      </c>
      <c r="BQ140" s="126"/>
      <c r="BR140" s="97">
        <f t="shared" ca="1" si="809"/>
        <v>0</v>
      </c>
      <c r="BS140" s="97">
        <f t="shared" si="810"/>
        <v>10000000</v>
      </c>
      <c r="BT140" s="151">
        <f t="shared" ca="1" si="811"/>
        <v>0</v>
      </c>
      <c r="BU140" s="188">
        <f t="shared" ca="1" si="812"/>
        <v>1000000</v>
      </c>
      <c r="BV140" s="144"/>
      <c r="BW140" s="126">
        <f t="shared" si="813"/>
        <v>1000000</v>
      </c>
      <c r="BX140" s="126"/>
      <c r="BY140" s="97">
        <f t="shared" ca="1" si="814"/>
        <v>0</v>
      </c>
      <c r="BZ140" s="97">
        <f t="shared" si="815"/>
        <v>11000000</v>
      </c>
      <c r="CA140" s="151">
        <f t="shared" ca="1" si="816"/>
        <v>0</v>
      </c>
      <c r="CB140" s="188">
        <f t="shared" ca="1" si="817"/>
        <v>1000000</v>
      </c>
      <c r="CC140" s="144"/>
      <c r="CD140" s="126">
        <f t="shared" si="818"/>
        <v>1000000</v>
      </c>
      <c r="CE140" s="126"/>
      <c r="CF140" s="97">
        <f t="shared" ca="1" si="819"/>
        <v>0</v>
      </c>
      <c r="CG140" s="97">
        <f t="shared" si="820"/>
        <v>12000000</v>
      </c>
      <c r="CH140" s="151">
        <f t="shared" ca="1" si="821"/>
        <v>0</v>
      </c>
      <c r="CI140" s="188">
        <f t="shared" ca="1" si="822"/>
        <v>1000000</v>
      </c>
      <c r="CJ140" s="5"/>
      <c r="CK140" s="5"/>
      <c r="CL140" s="5"/>
    </row>
    <row r="141" spans="1:90" s="6" customFormat="1">
      <c r="A141" s="133" t="s">
        <v>175</v>
      </c>
      <c r="B141" s="63">
        <v>52550501</v>
      </c>
      <c r="C141" s="134">
        <f t="shared" ca="1" si="720"/>
        <v>0</v>
      </c>
      <c r="D141" s="78"/>
      <c r="E141" s="126">
        <f ca="1">$C141/COUNTA(E$1:$CI$1)</f>
        <v>0</v>
      </c>
      <c r="F141" s="126"/>
      <c r="G141" s="104">
        <f t="shared" ca="1" si="765"/>
        <v>0</v>
      </c>
      <c r="H141" s="98">
        <f t="shared" ca="1" si="766"/>
        <v>0</v>
      </c>
      <c r="I141" s="57">
        <f t="shared" ca="1" si="767"/>
        <v>0</v>
      </c>
      <c r="J141" s="188">
        <f t="shared" ca="1" si="768"/>
        <v>0</v>
      </c>
      <c r="K141" s="70"/>
      <c r="L141" s="126">
        <f t="shared" ca="1" si="769"/>
        <v>0</v>
      </c>
      <c r="M141" s="126"/>
      <c r="N141" s="97">
        <f t="shared" ca="1" si="823"/>
        <v>0</v>
      </c>
      <c r="O141" s="98">
        <f t="shared" ca="1" si="824"/>
        <v>0</v>
      </c>
      <c r="P141" s="151">
        <f t="shared" ca="1" si="825"/>
        <v>0</v>
      </c>
      <c r="Q141" s="188">
        <f t="shared" ca="1" si="826"/>
        <v>0</v>
      </c>
      <c r="R141" s="70"/>
      <c r="S141" s="126">
        <f t="shared" ca="1" si="774"/>
        <v>0</v>
      </c>
      <c r="T141" s="126"/>
      <c r="U141" s="97">
        <f t="shared" ca="1" si="775"/>
        <v>0</v>
      </c>
      <c r="V141" s="97">
        <f t="shared" ca="1" si="776"/>
        <v>0</v>
      </c>
      <c r="W141" s="151">
        <f t="shared" ca="1" si="777"/>
        <v>0</v>
      </c>
      <c r="X141" s="188">
        <f t="shared" ca="1" si="778"/>
        <v>0</v>
      </c>
      <c r="Y141" s="70"/>
      <c r="Z141" s="126">
        <f t="shared" ca="1" si="779"/>
        <v>0</v>
      </c>
      <c r="AA141" s="126"/>
      <c r="AB141" s="97">
        <f t="shared" ca="1" si="780"/>
        <v>0</v>
      </c>
      <c r="AC141" s="97">
        <f t="shared" ca="1" si="781"/>
        <v>0</v>
      </c>
      <c r="AD141" s="151">
        <f t="shared" ca="1" si="782"/>
        <v>0</v>
      </c>
      <c r="AE141" s="188">
        <f t="shared" ca="1" si="783"/>
        <v>0</v>
      </c>
      <c r="AF141" s="70"/>
      <c r="AG141" s="126">
        <f t="shared" ca="1" si="784"/>
        <v>0</v>
      </c>
      <c r="AH141" s="126"/>
      <c r="AI141" s="97">
        <f t="shared" ca="1" si="785"/>
        <v>0</v>
      </c>
      <c r="AJ141" s="97">
        <f t="shared" ca="1" si="786"/>
        <v>0</v>
      </c>
      <c r="AK141" s="151">
        <f t="shared" ca="1" si="787"/>
        <v>0</v>
      </c>
      <c r="AL141" s="188">
        <f t="shared" ca="1" si="788"/>
        <v>0</v>
      </c>
      <c r="AM141" s="70"/>
      <c r="AN141" s="126">
        <f t="shared" ca="1" si="789"/>
        <v>0</v>
      </c>
      <c r="AO141" s="126"/>
      <c r="AP141" s="97">
        <f t="shared" ca="1" si="790"/>
        <v>0</v>
      </c>
      <c r="AQ141" s="97">
        <f t="shared" ca="1" si="791"/>
        <v>0</v>
      </c>
      <c r="AR141" s="151">
        <f t="shared" ca="1" si="792"/>
        <v>0</v>
      </c>
      <c r="AS141" s="188">
        <f t="shared" ca="1" si="793"/>
        <v>0</v>
      </c>
      <c r="AT141" s="70"/>
      <c r="AU141" s="126">
        <f t="shared" ca="1" si="794"/>
        <v>0</v>
      </c>
      <c r="AV141" s="126"/>
      <c r="AW141" s="97">
        <f t="shared" ca="1" si="795"/>
        <v>0</v>
      </c>
      <c r="AX141" s="126">
        <f t="shared" ca="1" si="796"/>
        <v>0</v>
      </c>
      <c r="AY141" s="151">
        <f t="shared" ca="1" si="797"/>
        <v>0</v>
      </c>
      <c r="AZ141" s="188">
        <f t="shared" ca="1" si="798"/>
        <v>0</v>
      </c>
      <c r="BA141" s="144"/>
      <c r="BB141" s="126">
        <f t="shared" ca="1" si="799"/>
        <v>0</v>
      </c>
      <c r="BC141" s="126"/>
      <c r="BD141" s="97">
        <f t="shared" ca="1" si="800"/>
        <v>0</v>
      </c>
      <c r="BE141" s="97">
        <f t="shared" ca="1" si="801"/>
        <v>0</v>
      </c>
      <c r="BF141" s="151">
        <f t="shared" ca="1" si="802"/>
        <v>0</v>
      </c>
      <c r="BG141" s="188">
        <f t="shared" ca="1" si="803"/>
        <v>0</v>
      </c>
      <c r="BH141" s="144"/>
      <c r="BI141" s="126">
        <f t="shared" ca="1" si="804"/>
        <v>0</v>
      </c>
      <c r="BJ141" s="126"/>
      <c r="BK141" s="97">
        <f t="shared" ca="1" si="750"/>
        <v>0</v>
      </c>
      <c r="BL141" s="97">
        <f t="shared" ca="1" si="805"/>
        <v>0</v>
      </c>
      <c r="BM141" s="151">
        <f t="shared" ca="1" si="806"/>
        <v>0</v>
      </c>
      <c r="BN141" s="188">
        <f t="shared" ca="1" si="807"/>
        <v>0</v>
      </c>
      <c r="BO141" s="144"/>
      <c r="BP141" s="126">
        <f t="shared" ca="1" si="808"/>
        <v>0</v>
      </c>
      <c r="BQ141" s="126"/>
      <c r="BR141" s="97">
        <f t="shared" ca="1" si="809"/>
        <v>0</v>
      </c>
      <c r="BS141" s="97">
        <f t="shared" ca="1" si="810"/>
        <v>0</v>
      </c>
      <c r="BT141" s="151">
        <f t="shared" ca="1" si="811"/>
        <v>0</v>
      </c>
      <c r="BU141" s="188">
        <f t="shared" ca="1" si="812"/>
        <v>0</v>
      </c>
      <c r="BV141" s="144"/>
      <c r="BW141" s="126">
        <f t="shared" ca="1" si="813"/>
        <v>0</v>
      </c>
      <c r="BX141" s="126"/>
      <c r="BY141" s="97">
        <f t="shared" ca="1" si="814"/>
        <v>0</v>
      </c>
      <c r="BZ141" s="97">
        <f t="shared" ca="1" si="815"/>
        <v>0</v>
      </c>
      <c r="CA141" s="151">
        <f t="shared" ca="1" si="816"/>
        <v>0</v>
      </c>
      <c r="CB141" s="188">
        <f t="shared" ca="1" si="817"/>
        <v>0</v>
      </c>
      <c r="CC141" s="144"/>
      <c r="CD141" s="126">
        <f t="shared" ca="1" si="818"/>
        <v>0</v>
      </c>
      <c r="CE141" s="126"/>
      <c r="CF141" s="97">
        <f t="shared" ca="1" si="819"/>
        <v>0</v>
      </c>
      <c r="CG141" s="97">
        <f t="shared" ca="1" si="820"/>
        <v>0</v>
      </c>
      <c r="CH141" s="151">
        <f t="shared" ca="1" si="821"/>
        <v>0</v>
      </c>
      <c r="CI141" s="188">
        <f t="shared" ca="1" si="822"/>
        <v>0</v>
      </c>
      <c r="CJ141" s="5"/>
      <c r="CK141" s="5"/>
      <c r="CL141" s="5"/>
    </row>
    <row r="142" spans="1:90" s="6" customFormat="1">
      <c r="A142" s="133" t="s">
        <v>165</v>
      </c>
      <c r="B142" s="63">
        <v>52952501</v>
      </c>
      <c r="C142" s="134">
        <f t="shared" ca="1" si="720"/>
        <v>0</v>
      </c>
      <c r="D142" s="78"/>
      <c r="E142" s="126">
        <f ca="1">$C142/COUNTA(E$1:$CI$1)</f>
        <v>0</v>
      </c>
      <c r="F142" s="126"/>
      <c r="G142" s="104">
        <f t="shared" ca="1" si="765"/>
        <v>0</v>
      </c>
      <c r="H142" s="98">
        <f t="shared" ca="1" si="766"/>
        <v>0</v>
      </c>
      <c r="I142" s="57">
        <f t="shared" ca="1" si="767"/>
        <v>0</v>
      </c>
      <c r="J142" s="188">
        <f t="shared" ca="1" si="768"/>
        <v>0</v>
      </c>
      <c r="K142" s="70"/>
      <c r="L142" s="126">
        <f t="shared" ca="1" si="769"/>
        <v>0</v>
      </c>
      <c r="M142" s="126"/>
      <c r="N142" s="97">
        <f t="shared" ca="1" si="823"/>
        <v>0</v>
      </c>
      <c r="O142" s="98">
        <f t="shared" ca="1" si="824"/>
        <v>0</v>
      </c>
      <c r="P142" s="151">
        <f t="shared" ca="1" si="825"/>
        <v>0</v>
      </c>
      <c r="Q142" s="188">
        <f t="shared" ca="1" si="826"/>
        <v>0</v>
      </c>
      <c r="R142" s="70"/>
      <c r="S142" s="126">
        <f t="shared" ca="1" si="774"/>
        <v>0</v>
      </c>
      <c r="T142" s="126"/>
      <c r="U142" s="97">
        <f t="shared" ca="1" si="775"/>
        <v>0</v>
      </c>
      <c r="V142" s="97">
        <f t="shared" ca="1" si="776"/>
        <v>0</v>
      </c>
      <c r="W142" s="151">
        <f t="shared" ca="1" si="777"/>
        <v>0</v>
      </c>
      <c r="X142" s="188">
        <f t="shared" ca="1" si="778"/>
        <v>0</v>
      </c>
      <c r="Y142" s="70"/>
      <c r="Z142" s="126">
        <f t="shared" ca="1" si="779"/>
        <v>0</v>
      </c>
      <c r="AA142" s="126"/>
      <c r="AB142" s="97">
        <f t="shared" ca="1" si="780"/>
        <v>0</v>
      </c>
      <c r="AC142" s="97">
        <f t="shared" ca="1" si="781"/>
        <v>0</v>
      </c>
      <c r="AD142" s="151">
        <f t="shared" ca="1" si="782"/>
        <v>0</v>
      </c>
      <c r="AE142" s="188">
        <f t="shared" ca="1" si="783"/>
        <v>0</v>
      </c>
      <c r="AF142" s="70"/>
      <c r="AG142" s="126">
        <f t="shared" ca="1" si="784"/>
        <v>0</v>
      </c>
      <c r="AH142" s="126"/>
      <c r="AI142" s="97">
        <f t="shared" ca="1" si="785"/>
        <v>0</v>
      </c>
      <c r="AJ142" s="97">
        <f t="shared" ca="1" si="786"/>
        <v>0</v>
      </c>
      <c r="AK142" s="151">
        <f t="shared" ca="1" si="787"/>
        <v>0</v>
      </c>
      <c r="AL142" s="188">
        <f t="shared" ca="1" si="788"/>
        <v>0</v>
      </c>
      <c r="AM142" s="70"/>
      <c r="AN142" s="126">
        <f t="shared" ca="1" si="789"/>
        <v>0</v>
      </c>
      <c r="AO142" s="126"/>
      <c r="AP142" s="97">
        <f t="shared" ca="1" si="790"/>
        <v>0</v>
      </c>
      <c r="AQ142" s="97">
        <f t="shared" ca="1" si="791"/>
        <v>0</v>
      </c>
      <c r="AR142" s="151">
        <f t="shared" ca="1" si="792"/>
        <v>0</v>
      </c>
      <c r="AS142" s="188">
        <f t="shared" ca="1" si="793"/>
        <v>0</v>
      </c>
      <c r="AT142" s="70"/>
      <c r="AU142" s="126">
        <f t="shared" ca="1" si="794"/>
        <v>0</v>
      </c>
      <c r="AV142" s="126"/>
      <c r="AW142" s="97">
        <f t="shared" ca="1" si="795"/>
        <v>0</v>
      </c>
      <c r="AX142" s="126">
        <f t="shared" ca="1" si="796"/>
        <v>0</v>
      </c>
      <c r="AY142" s="151">
        <f t="shared" ca="1" si="797"/>
        <v>0</v>
      </c>
      <c r="AZ142" s="188">
        <f t="shared" ca="1" si="798"/>
        <v>0</v>
      </c>
      <c r="BA142" s="144"/>
      <c r="BB142" s="126">
        <f t="shared" ca="1" si="799"/>
        <v>0</v>
      </c>
      <c r="BC142" s="126"/>
      <c r="BD142" s="97">
        <f t="shared" ca="1" si="800"/>
        <v>0</v>
      </c>
      <c r="BE142" s="97">
        <f t="shared" ca="1" si="801"/>
        <v>0</v>
      </c>
      <c r="BF142" s="151">
        <f t="shared" ca="1" si="802"/>
        <v>0</v>
      </c>
      <c r="BG142" s="188">
        <f t="shared" ca="1" si="803"/>
        <v>0</v>
      </c>
      <c r="BH142" s="144"/>
      <c r="BI142" s="126">
        <f t="shared" ca="1" si="804"/>
        <v>0</v>
      </c>
      <c r="BJ142" s="126"/>
      <c r="BK142" s="97">
        <f t="shared" ca="1" si="750"/>
        <v>0</v>
      </c>
      <c r="BL142" s="97">
        <f t="shared" ca="1" si="805"/>
        <v>0</v>
      </c>
      <c r="BM142" s="151">
        <f t="shared" ca="1" si="806"/>
        <v>0</v>
      </c>
      <c r="BN142" s="188">
        <f t="shared" ca="1" si="807"/>
        <v>0</v>
      </c>
      <c r="BO142" s="144"/>
      <c r="BP142" s="126">
        <f t="shared" ca="1" si="808"/>
        <v>0</v>
      </c>
      <c r="BQ142" s="126"/>
      <c r="BR142" s="97">
        <f t="shared" ca="1" si="809"/>
        <v>0</v>
      </c>
      <c r="BS142" s="97">
        <f t="shared" ca="1" si="810"/>
        <v>0</v>
      </c>
      <c r="BT142" s="151">
        <f t="shared" ca="1" si="811"/>
        <v>0</v>
      </c>
      <c r="BU142" s="188">
        <f t="shared" ca="1" si="812"/>
        <v>0</v>
      </c>
      <c r="BV142" s="144"/>
      <c r="BW142" s="126">
        <f t="shared" ca="1" si="813"/>
        <v>0</v>
      </c>
      <c r="BX142" s="126"/>
      <c r="BY142" s="97">
        <f t="shared" ca="1" si="814"/>
        <v>0</v>
      </c>
      <c r="BZ142" s="97">
        <f t="shared" ca="1" si="815"/>
        <v>0</v>
      </c>
      <c r="CA142" s="151">
        <f t="shared" ca="1" si="816"/>
        <v>0</v>
      </c>
      <c r="CB142" s="188">
        <f t="shared" ca="1" si="817"/>
        <v>0</v>
      </c>
      <c r="CC142" s="144"/>
      <c r="CD142" s="126">
        <f t="shared" ca="1" si="818"/>
        <v>0</v>
      </c>
      <c r="CE142" s="126"/>
      <c r="CF142" s="97">
        <f t="shared" ca="1" si="819"/>
        <v>0</v>
      </c>
      <c r="CG142" s="97">
        <f t="shared" ca="1" si="820"/>
        <v>0</v>
      </c>
      <c r="CH142" s="151">
        <f t="shared" ca="1" si="821"/>
        <v>0</v>
      </c>
      <c r="CI142" s="188">
        <f t="shared" ca="1" si="822"/>
        <v>0</v>
      </c>
      <c r="CJ142" s="5"/>
      <c r="CK142" s="5"/>
      <c r="CL142" s="5"/>
    </row>
    <row r="143" spans="1:90" s="6" customFormat="1">
      <c r="A143" s="133" t="s">
        <v>166</v>
      </c>
      <c r="B143" s="63">
        <v>52952502</v>
      </c>
      <c r="C143" s="134">
        <f t="shared" ca="1" si="720"/>
        <v>0</v>
      </c>
      <c r="D143" s="78"/>
      <c r="E143" s="126">
        <f ca="1">$C143/COUNTA(E$1:$CI$1)</f>
        <v>0</v>
      </c>
      <c r="F143" s="126"/>
      <c r="G143" s="104">
        <f ca="1">IFERROR(I143,0)</f>
        <v>0</v>
      </c>
      <c r="H143" s="98">
        <f ca="1">IFERROR(E143,0)</f>
        <v>0</v>
      </c>
      <c r="I143" s="57">
        <f ca="1">IFERROR(IFERROR(VLOOKUP(TEXT($B143,0),INDIRECT("'Balance a "&amp;LEFT(E$1,3)&amp;"'!$B$3:$G$300"),4,0),VLOOKUP(VALUE($B143),INDIRECT("'Balance a "&amp;LEFT(E$1,3)&amp;"'!$B$3:$G$300"),4,0)),0)</f>
        <v>0</v>
      </c>
      <c r="J143" s="188">
        <f ca="1">IFERROR(G143-E143,0)</f>
        <v>0</v>
      </c>
      <c r="K143" s="70"/>
      <c r="L143" s="126">
        <f t="shared" ca="1" si="769"/>
        <v>0</v>
      </c>
      <c r="M143" s="126"/>
      <c r="N143" s="97">
        <f t="shared" ca="1" si="823"/>
        <v>0</v>
      </c>
      <c r="O143" s="98">
        <f t="shared" ca="1" si="824"/>
        <v>0</v>
      </c>
      <c r="P143" s="151">
        <f t="shared" ca="1" si="825"/>
        <v>0</v>
      </c>
      <c r="Q143" s="188">
        <f t="shared" ca="1" si="826"/>
        <v>0</v>
      </c>
      <c r="R143" s="70"/>
      <c r="S143" s="126">
        <f t="shared" ca="1" si="774"/>
        <v>0</v>
      </c>
      <c r="T143" s="126"/>
      <c r="U143" s="97">
        <f t="shared" ca="1" si="775"/>
        <v>0</v>
      </c>
      <c r="V143" s="97">
        <f t="shared" ca="1" si="776"/>
        <v>0</v>
      </c>
      <c r="W143" s="151">
        <f t="shared" ca="1" si="777"/>
        <v>0</v>
      </c>
      <c r="X143" s="188">
        <f t="shared" ca="1" si="778"/>
        <v>0</v>
      </c>
      <c r="Y143" s="70"/>
      <c r="Z143" s="126">
        <f t="shared" ca="1" si="779"/>
        <v>0</v>
      </c>
      <c r="AA143" s="126"/>
      <c r="AB143" s="97">
        <f t="shared" ca="1" si="780"/>
        <v>0</v>
      </c>
      <c r="AC143" s="97">
        <f t="shared" ca="1" si="781"/>
        <v>0</v>
      </c>
      <c r="AD143" s="151">
        <f t="shared" ca="1" si="782"/>
        <v>0</v>
      </c>
      <c r="AE143" s="188">
        <f t="shared" ca="1" si="783"/>
        <v>0</v>
      </c>
      <c r="AF143" s="70"/>
      <c r="AG143" s="126">
        <f t="shared" ca="1" si="784"/>
        <v>0</v>
      </c>
      <c r="AH143" s="126"/>
      <c r="AI143" s="97">
        <f t="shared" ca="1" si="785"/>
        <v>0</v>
      </c>
      <c r="AJ143" s="97">
        <f t="shared" ca="1" si="786"/>
        <v>0</v>
      </c>
      <c r="AK143" s="151">
        <f t="shared" ca="1" si="787"/>
        <v>0</v>
      </c>
      <c r="AL143" s="188">
        <f t="shared" ca="1" si="788"/>
        <v>0</v>
      </c>
      <c r="AM143" s="70"/>
      <c r="AN143" s="126">
        <f t="shared" ca="1" si="789"/>
        <v>0</v>
      </c>
      <c r="AO143" s="126"/>
      <c r="AP143" s="97">
        <f t="shared" ca="1" si="790"/>
        <v>0</v>
      </c>
      <c r="AQ143" s="97">
        <f t="shared" ca="1" si="791"/>
        <v>0</v>
      </c>
      <c r="AR143" s="151">
        <f t="shared" ca="1" si="792"/>
        <v>0</v>
      </c>
      <c r="AS143" s="188">
        <f t="shared" ca="1" si="793"/>
        <v>0</v>
      </c>
      <c r="AT143" s="70"/>
      <c r="AU143" s="126">
        <f t="shared" ca="1" si="794"/>
        <v>0</v>
      </c>
      <c r="AV143" s="126"/>
      <c r="AW143" s="97">
        <f t="shared" ca="1" si="795"/>
        <v>0</v>
      </c>
      <c r="AX143" s="126">
        <f t="shared" ca="1" si="796"/>
        <v>0</v>
      </c>
      <c r="AY143" s="151">
        <f t="shared" ca="1" si="797"/>
        <v>0</v>
      </c>
      <c r="AZ143" s="188">
        <f t="shared" ca="1" si="798"/>
        <v>0</v>
      </c>
      <c r="BA143" s="144"/>
      <c r="BB143" s="126">
        <f t="shared" ca="1" si="799"/>
        <v>0</v>
      </c>
      <c r="BC143" s="126"/>
      <c r="BD143" s="97">
        <f t="shared" ca="1" si="800"/>
        <v>0</v>
      </c>
      <c r="BE143" s="97">
        <f t="shared" ca="1" si="801"/>
        <v>0</v>
      </c>
      <c r="BF143" s="151">
        <f t="shared" ca="1" si="802"/>
        <v>0</v>
      </c>
      <c r="BG143" s="188">
        <f t="shared" ca="1" si="803"/>
        <v>0</v>
      </c>
      <c r="BH143" s="144"/>
      <c r="BI143" s="126">
        <f t="shared" ca="1" si="804"/>
        <v>0</v>
      </c>
      <c r="BJ143" s="126"/>
      <c r="BK143" s="97">
        <f t="shared" ca="1" si="750"/>
        <v>0</v>
      </c>
      <c r="BL143" s="97">
        <f t="shared" ca="1" si="805"/>
        <v>0</v>
      </c>
      <c r="BM143" s="151">
        <f t="shared" ca="1" si="806"/>
        <v>0</v>
      </c>
      <c r="BN143" s="188">
        <f t="shared" ca="1" si="807"/>
        <v>0</v>
      </c>
      <c r="BO143" s="144"/>
      <c r="BP143" s="126">
        <f t="shared" ca="1" si="808"/>
        <v>0</v>
      </c>
      <c r="BQ143" s="126"/>
      <c r="BR143" s="97">
        <f t="shared" ca="1" si="809"/>
        <v>0</v>
      </c>
      <c r="BS143" s="97">
        <f t="shared" ca="1" si="810"/>
        <v>0</v>
      </c>
      <c r="BT143" s="151">
        <f t="shared" ca="1" si="811"/>
        <v>0</v>
      </c>
      <c r="BU143" s="188">
        <f t="shared" ca="1" si="812"/>
        <v>0</v>
      </c>
      <c r="BV143" s="144"/>
      <c r="BW143" s="126">
        <f t="shared" ca="1" si="813"/>
        <v>0</v>
      </c>
      <c r="BX143" s="126"/>
      <c r="BY143" s="97">
        <f t="shared" ca="1" si="814"/>
        <v>0</v>
      </c>
      <c r="BZ143" s="97">
        <f t="shared" ca="1" si="815"/>
        <v>0</v>
      </c>
      <c r="CA143" s="151">
        <f t="shared" ca="1" si="816"/>
        <v>0</v>
      </c>
      <c r="CB143" s="188">
        <f t="shared" ca="1" si="817"/>
        <v>0</v>
      </c>
      <c r="CC143" s="144"/>
      <c r="CD143" s="126">
        <f t="shared" ca="1" si="818"/>
        <v>0</v>
      </c>
      <c r="CE143" s="126"/>
      <c r="CF143" s="97">
        <f t="shared" ca="1" si="819"/>
        <v>0</v>
      </c>
      <c r="CG143" s="97">
        <f t="shared" ca="1" si="820"/>
        <v>0</v>
      </c>
      <c r="CH143" s="151">
        <f t="shared" ca="1" si="821"/>
        <v>0</v>
      </c>
      <c r="CI143" s="188">
        <f t="shared" ca="1" si="822"/>
        <v>0</v>
      </c>
      <c r="CJ143" s="5"/>
      <c r="CK143" s="5"/>
      <c r="CL143" s="5"/>
    </row>
    <row r="144" spans="1:90" s="6" customFormat="1">
      <c r="A144" s="133" t="s">
        <v>106</v>
      </c>
      <c r="B144" s="63">
        <v>52953501</v>
      </c>
      <c r="C144" s="134">
        <f t="shared" ca="1" si="720"/>
        <v>0</v>
      </c>
      <c r="D144" s="78"/>
      <c r="E144" s="126">
        <f ca="1">$C144/COUNTA(E$1:$CI$1)</f>
        <v>0</v>
      </c>
      <c r="F144" s="126"/>
      <c r="G144" s="104">
        <f t="shared" ca="1" si="765"/>
        <v>0</v>
      </c>
      <c r="H144" s="98">
        <f t="shared" ca="1" si="766"/>
        <v>0</v>
      </c>
      <c r="I144" s="57">
        <f t="shared" ca="1" si="767"/>
        <v>0</v>
      </c>
      <c r="J144" s="188">
        <f t="shared" ca="1" si="768"/>
        <v>0</v>
      </c>
      <c r="K144" s="70"/>
      <c r="L144" s="126">
        <f t="shared" ca="1" si="769"/>
        <v>0</v>
      </c>
      <c r="M144" s="126"/>
      <c r="N144" s="97">
        <f t="shared" ca="1" si="823"/>
        <v>0</v>
      </c>
      <c r="O144" s="98">
        <f t="shared" ca="1" si="824"/>
        <v>0</v>
      </c>
      <c r="P144" s="151">
        <f t="shared" ca="1" si="825"/>
        <v>0</v>
      </c>
      <c r="Q144" s="188">
        <f t="shared" ca="1" si="826"/>
        <v>0</v>
      </c>
      <c r="R144" s="70"/>
      <c r="S144" s="126">
        <f t="shared" ca="1" si="774"/>
        <v>0</v>
      </c>
      <c r="T144" s="126"/>
      <c r="U144" s="97">
        <f t="shared" ca="1" si="775"/>
        <v>0</v>
      </c>
      <c r="V144" s="97">
        <f t="shared" ca="1" si="776"/>
        <v>0</v>
      </c>
      <c r="W144" s="151">
        <f t="shared" ca="1" si="777"/>
        <v>0</v>
      </c>
      <c r="X144" s="188">
        <f t="shared" ca="1" si="778"/>
        <v>0</v>
      </c>
      <c r="Y144" s="70"/>
      <c r="Z144" s="126">
        <f t="shared" ca="1" si="779"/>
        <v>0</v>
      </c>
      <c r="AA144" s="126"/>
      <c r="AB144" s="97">
        <f t="shared" ca="1" si="780"/>
        <v>0</v>
      </c>
      <c r="AC144" s="97">
        <f t="shared" ca="1" si="781"/>
        <v>0</v>
      </c>
      <c r="AD144" s="151">
        <f t="shared" ca="1" si="782"/>
        <v>0</v>
      </c>
      <c r="AE144" s="188">
        <f t="shared" ca="1" si="783"/>
        <v>0</v>
      </c>
      <c r="AF144" s="70"/>
      <c r="AG144" s="126">
        <f t="shared" ca="1" si="784"/>
        <v>0</v>
      </c>
      <c r="AH144" s="126"/>
      <c r="AI144" s="97">
        <f t="shared" ca="1" si="785"/>
        <v>0</v>
      </c>
      <c r="AJ144" s="97">
        <f t="shared" ca="1" si="786"/>
        <v>0</v>
      </c>
      <c r="AK144" s="151">
        <f t="shared" ca="1" si="787"/>
        <v>0</v>
      </c>
      <c r="AL144" s="188">
        <f t="shared" ca="1" si="788"/>
        <v>0</v>
      </c>
      <c r="AM144" s="70"/>
      <c r="AN144" s="126">
        <f t="shared" ca="1" si="789"/>
        <v>0</v>
      </c>
      <c r="AO144" s="126"/>
      <c r="AP144" s="97">
        <f t="shared" ca="1" si="790"/>
        <v>0</v>
      </c>
      <c r="AQ144" s="97">
        <f t="shared" ca="1" si="791"/>
        <v>0</v>
      </c>
      <c r="AR144" s="151">
        <f t="shared" ca="1" si="792"/>
        <v>0</v>
      </c>
      <c r="AS144" s="188">
        <f t="shared" ca="1" si="793"/>
        <v>0</v>
      </c>
      <c r="AT144" s="70"/>
      <c r="AU144" s="126">
        <f t="shared" ca="1" si="794"/>
        <v>0</v>
      </c>
      <c r="AV144" s="126"/>
      <c r="AW144" s="97">
        <f t="shared" ca="1" si="795"/>
        <v>0</v>
      </c>
      <c r="AX144" s="126">
        <f t="shared" ca="1" si="796"/>
        <v>0</v>
      </c>
      <c r="AY144" s="151">
        <f t="shared" ca="1" si="797"/>
        <v>0</v>
      </c>
      <c r="AZ144" s="188">
        <f t="shared" ca="1" si="798"/>
        <v>0</v>
      </c>
      <c r="BA144" s="144"/>
      <c r="BB144" s="126">
        <f t="shared" ca="1" si="799"/>
        <v>0</v>
      </c>
      <c r="BC144" s="126"/>
      <c r="BD144" s="97">
        <f t="shared" ca="1" si="800"/>
        <v>0</v>
      </c>
      <c r="BE144" s="97">
        <f t="shared" ca="1" si="801"/>
        <v>0</v>
      </c>
      <c r="BF144" s="151">
        <f t="shared" ca="1" si="802"/>
        <v>0</v>
      </c>
      <c r="BG144" s="188">
        <f t="shared" ca="1" si="803"/>
        <v>0</v>
      </c>
      <c r="BH144" s="144"/>
      <c r="BI144" s="126">
        <f t="shared" ca="1" si="804"/>
        <v>0</v>
      </c>
      <c r="BJ144" s="126"/>
      <c r="BK144" s="97">
        <f t="shared" ca="1" si="750"/>
        <v>0</v>
      </c>
      <c r="BL144" s="97">
        <f t="shared" ca="1" si="805"/>
        <v>0</v>
      </c>
      <c r="BM144" s="151">
        <f t="shared" ca="1" si="806"/>
        <v>0</v>
      </c>
      <c r="BN144" s="188">
        <f t="shared" ca="1" si="807"/>
        <v>0</v>
      </c>
      <c r="BO144" s="144"/>
      <c r="BP144" s="126">
        <f t="shared" ca="1" si="808"/>
        <v>0</v>
      </c>
      <c r="BQ144" s="126"/>
      <c r="BR144" s="97">
        <f t="shared" ca="1" si="809"/>
        <v>0</v>
      </c>
      <c r="BS144" s="97">
        <f t="shared" ca="1" si="810"/>
        <v>0</v>
      </c>
      <c r="BT144" s="151">
        <f t="shared" ca="1" si="811"/>
        <v>0</v>
      </c>
      <c r="BU144" s="188">
        <f t="shared" ca="1" si="812"/>
        <v>0</v>
      </c>
      <c r="BV144" s="144"/>
      <c r="BW144" s="126">
        <f t="shared" ca="1" si="813"/>
        <v>0</v>
      </c>
      <c r="BX144" s="126"/>
      <c r="BY144" s="97">
        <f t="shared" ca="1" si="814"/>
        <v>0</v>
      </c>
      <c r="BZ144" s="97">
        <f t="shared" ca="1" si="815"/>
        <v>0</v>
      </c>
      <c r="CA144" s="151">
        <f t="shared" ca="1" si="816"/>
        <v>0</v>
      </c>
      <c r="CB144" s="188">
        <f t="shared" ca="1" si="817"/>
        <v>0</v>
      </c>
      <c r="CC144" s="144"/>
      <c r="CD144" s="126">
        <f t="shared" ca="1" si="818"/>
        <v>0</v>
      </c>
      <c r="CE144" s="126"/>
      <c r="CF144" s="97">
        <f t="shared" ca="1" si="819"/>
        <v>0</v>
      </c>
      <c r="CG144" s="97">
        <f t="shared" ca="1" si="820"/>
        <v>0</v>
      </c>
      <c r="CH144" s="151">
        <f t="shared" ca="1" si="821"/>
        <v>0</v>
      </c>
      <c r="CI144" s="188">
        <f t="shared" ca="1" si="822"/>
        <v>0</v>
      </c>
      <c r="CJ144" s="5"/>
      <c r="CK144" s="5"/>
      <c r="CL144" s="5"/>
    </row>
    <row r="145" spans="1:90" s="6" customFormat="1">
      <c r="A145" s="133" t="s">
        <v>169</v>
      </c>
      <c r="B145" s="63">
        <v>52954001</v>
      </c>
      <c r="C145" s="134">
        <f t="shared" ca="1" si="720"/>
        <v>0</v>
      </c>
      <c r="D145" s="78"/>
      <c r="E145" s="126">
        <f ca="1">$C145/COUNTA(E$1:$CI$1)</f>
        <v>0</v>
      </c>
      <c r="F145" s="126"/>
      <c r="G145" s="104">
        <f t="shared" ca="1" si="765"/>
        <v>0</v>
      </c>
      <c r="H145" s="98">
        <f t="shared" ca="1" si="766"/>
        <v>0</v>
      </c>
      <c r="I145" s="57">
        <f t="shared" ca="1" si="767"/>
        <v>0</v>
      </c>
      <c r="J145" s="188">
        <f t="shared" ca="1" si="768"/>
        <v>0</v>
      </c>
      <c r="K145" s="70"/>
      <c r="L145" s="126">
        <f t="shared" ca="1" si="769"/>
        <v>0</v>
      </c>
      <c r="M145" s="126"/>
      <c r="N145" s="97">
        <f t="shared" ca="1" si="823"/>
        <v>0</v>
      </c>
      <c r="O145" s="98">
        <f t="shared" ca="1" si="824"/>
        <v>0</v>
      </c>
      <c r="P145" s="151">
        <f t="shared" ca="1" si="825"/>
        <v>0</v>
      </c>
      <c r="Q145" s="188">
        <f t="shared" ca="1" si="826"/>
        <v>0</v>
      </c>
      <c r="R145" s="70"/>
      <c r="S145" s="126">
        <f t="shared" ca="1" si="774"/>
        <v>0</v>
      </c>
      <c r="T145" s="126"/>
      <c r="U145" s="97">
        <f t="shared" ca="1" si="775"/>
        <v>0</v>
      </c>
      <c r="V145" s="97">
        <f t="shared" ca="1" si="776"/>
        <v>0</v>
      </c>
      <c r="W145" s="151">
        <f t="shared" ca="1" si="777"/>
        <v>0</v>
      </c>
      <c r="X145" s="188">
        <f t="shared" ca="1" si="778"/>
        <v>0</v>
      </c>
      <c r="Y145" s="70"/>
      <c r="Z145" s="126">
        <f t="shared" ca="1" si="779"/>
        <v>0</v>
      </c>
      <c r="AA145" s="126"/>
      <c r="AB145" s="97">
        <f t="shared" ca="1" si="780"/>
        <v>0</v>
      </c>
      <c r="AC145" s="97">
        <f t="shared" ca="1" si="781"/>
        <v>0</v>
      </c>
      <c r="AD145" s="151">
        <f t="shared" ca="1" si="782"/>
        <v>0</v>
      </c>
      <c r="AE145" s="188">
        <f t="shared" ca="1" si="783"/>
        <v>0</v>
      </c>
      <c r="AF145" s="70"/>
      <c r="AG145" s="126">
        <f t="shared" ca="1" si="784"/>
        <v>0</v>
      </c>
      <c r="AH145" s="126"/>
      <c r="AI145" s="97">
        <f t="shared" ca="1" si="785"/>
        <v>0</v>
      </c>
      <c r="AJ145" s="97">
        <f t="shared" ca="1" si="786"/>
        <v>0</v>
      </c>
      <c r="AK145" s="151">
        <f t="shared" ca="1" si="787"/>
        <v>0</v>
      </c>
      <c r="AL145" s="188">
        <f t="shared" ca="1" si="788"/>
        <v>0</v>
      </c>
      <c r="AM145" s="70"/>
      <c r="AN145" s="126">
        <f t="shared" ca="1" si="789"/>
        <v>0</v>
      </c>
      <c r="AO145" s="126"/>
      <c r="AP145" s="97">
        <f t="shared" ca="1" si="790"/>
        <v>0</v>
      </c>
      <c r="AQ145" s="97">
        <f t="shared" ca="1" si="791"/>
        <v>0</v>
      </c>
      <c r="AR145" s="151">
        <f t="shared" ca="1" si="792"/>
        <v>0</v>
      </c>
      <c r="AS145" s="188">
        <f t="shared" ca="1" si="793"/>
        <v>0</v>
      </c>
      <c r="AT145" s="70"/>
      <c r="AU145" s="126">
        <f t="shared" ca="1" si="794"/>
        <v>0</v>
      </c>
      <c r="AV145" s="126"/>
      <c r="AW145" s="97">
        <f t="shared" ca="1" si="795"/>
        <v>0</v>
      </c>
      <c r="AX145" s="126">
        <f t="shared" ca="1" si="796"/>
        <v>0</v>
      </c>
      <c r="AY145" s="151">
        <f t="shared" ca="1" si="797"/>
        <v>0</v>
      </c>
      <c r="AZ145" s="188">
        <f t="shared" ca="1" si="798"/>
        <v>0</v>
      </c>
      <c r="BA145" s="144"/>
      <c r="BB145" s="126">
        <f t="shared" ca="1" si="799"/>
        <v>0</v>
      </c>
      <c r="BC145" s="126"/>
      <c r="BD145" s="97">
        <f t="shared" ca="1" si="800"/>
        <v>0</v>
      </c>
      <c r="BE145" s="97">
        <f t="shared" ca="1" si="801"/>
        <v>0</v>
      </c>
      <c r="BF145" s="151">
        <f t="shared" ca="1" si="802"/>
        <v>0</v>
      </c>
      <c r="BG145" s="188">
        <f t="shared" ca="1" si="803"/>
        <v>0</v>
      </c>
      <c r="BH145" s="144"/>
      <c r="BI145" s="126">
        <f t="shared" ca="1" si="804"/>
        <v>0</v>
      </c>
      <c r="BJ145" s="126"/>
      <c r="BK145" s="97">
        <f t="shared" ca="1" si="750"/>
        <v>0</v>
      </c>
      <c r="BL145" s="97">
        <f t="shared" ca="1" si="805"/>
        <v>0</v>
      </c>
      <c r="BM145" s="151">
        <f t="shared" ca="1" si="806"/>
        <v>0</v>
      </c>
      <c r="BN145" s="188">
        <f t="shared" ca="1" si="807"/>
        <v>0</v>
      </c>
      <c r="BO145" s="144"/>
      <c r="BP145" s="126">
        <f t="shared" ca="1" si="808"/>
        <v>0</v>
      </c>
      <c r="BQ145" s="126"/>
      <c r="BR145" s="97">
        <f t="shared" ca="1" si="809"/>
        <v>0</v>
      </c>
      <c r="BS145" s="97">
        <f t="shared" ca="1" si="810"/>
        <v>0</v>
      </c>
      <c r="BT145" s="151">
        <f t="shared" ca="1" si="811"/>
        <v>0</v>
      </c>
      <c r="BU145" s="188">
        <f t="shared" ca="1" si="812"/>
        <v>0</v>
      </c>
      <c r="BV145" s="144"/>
      <c r="BW145" s="126">
        <f t="shared" ca="1" si="813"/>
        <v>0</v>
      </c>
      <c r="BX145" s="126"/>
      <c r="BY145" s="97">
        <f t="shared" ca="1" si="814"/>
        <v>0</v>
      </c>
      <c r="BZ145" s="97">
        <f t="shared" ca="1" si="815"/>
        <v>0</v>
      </c>
      <c r="CA145" s="151">
        <f t="shared" ca="1" si="816"/>
        <v>0</v>
      </c>
      <c r="CB145" s="188">
        <f t="shared" ca="1" si="817"/>
        <v>0</v>
      </c>
      <c r="CC145" s="144"/>
      <c r="CD145" s="126">
        <f t="shared" ca="1" si="818"/>
        <v>0</v>
      </c>
      <c r="CE145" s="126"/>
      <c r="CF145" s="97">
        <f t="shared" ca="1" si="819"/>
        <v>0</v>
      </c>
      <c r="CG145" s="97">
        <f t="shared" ca="1" si="820"/>
        <v>0</v>
      </c>
      <c r="CH145" s="151">
        <f t="shared" ca="1" si="821"/>
        <v>0</v>
      </c>
      <c r="CI145" s="188">
        <f t="shared" ca="1" si="822"/>
        <v>0</v>
      </c>
      <c r="CJ145" s="5"/>
      <c r="CK145" s="5"/>
      <c r="CL145" s="5"/>
    </row>
    <row r="146" spans="1:90" s="6" customFormat="1">
      <c r="A146" s="133" t="s">
        <v>176</v>
      </c>
      <c r="B146" s="63">
        <v>52956001</v>
      </c>
      <c r="C146" s="134">
        <f t="shared" ca="1" si="720"/>
        <v>0</v>
      </c>
      <c r="D146" s="78"/>
      <c r="E146" s="126">
        <f ca="1">$C146/COUNTA(E$1:$CI$1)</f>
        <v>0</v>
      </c>
      <c r="F146" s="126"/>
      <c r="G146" s="104">
        <f t="shared" ca="1" si="765"/>
        <v>0</v>
      </c>
      <c r="H146" s="98">
        <f t="shared" ca="1" si="766"/>
        <v>0</v>
      </c>
      <c r="I146" s="57">
        <f t="shared" ca="1" si="767"/>
        <v>0</v>
      </c>
      <c r="J146" s="188">
        <f t="shared" ca="1" si="768"/>
        <v>0</v>
      </c>
      <c r="K146" s="70"/>
      <c r="L146" s="126">
        <f t="shared" ca="1" si="769"/>
        <v>0</v>
      </c>
      <c r="M146" s="126"/>
      <c r="N146" s="97">
        <f t="shared" ca="1" si="823"/>
        <v>0</v>
      </c>
      <c r="O146" s="98">
        <f t="shared" ca="1" si="824"/>
        <v>0</v>
      </c>
      <c r="P146" s="151">
        <f t="shared" ca="1" si="825"/>
        <v>0</v>
      </c>
      <c r="Q146" s="188">
        <f t="shared" ca="1" si="826"/>
        <v>0</v>
      </c>
      <c r="R146" s="70"/>
      <c r="S146" s="126">
        <f t="shared" ca="1" si="774"/>
        <v>0</v>
      </c>
      <c r="T146" s="126"/>
      <c r="U146" s="97">
        <f t="shared" ca="1" si="775"/>
        <v>0</v>
      </c>
      <c r="V146" s="97">
        <f t="shared" ca="1" si="776"/>
        <v>0</v>
      </c>
      <c r="W146" s="151">
        <f t="shared" ca="1" si="777"/>
        <v>0</v>
      </c>
      <c r="X146" s="188">
        <f t="shared" ca="1" si="778"/>
        <v>0</v>
      </c>
      <c r="Y146" s="70"/>
      <c r="Z146" s="126">
        <f t="shared" ca="1" si="779"/>
        <v>0</v>
      </c>
      <c r="AA146" s="126"/>
      <c r="AB146" s="97">
        <f t="shared" ca="1" si="780"/>
        <v>0</v>
      </c>
      <c r="AC146" s="97">
        <f t="shared" ca="1" si="781"/>
        <v>0</v>
      </c>
      <c r="AD146" s="151">
        <f t="shared" ca="1" si="782"/>
        <v>0</v>
      </c>
      <c r="AE146" s="188">
        <f t="shared" ca="1" si="783"/>
        <v>0</v>
      </c>
      <c r="AF146" s="70"/>
      <c r="AG146" s="126">
        <f t="shared" ca="1" si="784"/>
        <v>0</v>
      </c>
      <c r="AH146" s="126"/>
      <c r="AI146" s="97">
        <f t="shared" ca="1" si="785"/>
        <v>0</v>
      </c>
      <c r="AJ146" s="97">
        <f t="shared" ca="1" si="786"/>
        <v>0</v>
      </c>
      <c r="AK146" s="151">
        <f t="shared" ca="1" si="787"/>
        <v>0</v>
      </c>
      <c r="AL146" s="188">
        <f t="shared" ca="1" si="788"/>
        <v>0</v>
      </c>
      <c r="AM146" s="70"/>
      <c r="AN146" s="126">
        <f t="shared" ca="1" si="789"/>
        <v>0</v>
      </c>
      <c r="AO146" s="126"/>
      <c r="AP146" s="97">
        <f t="shared" ca="1" si="790"/>
        <v>0</v>
      </c>
      <c r="AQ146" s="97">
        <f t="shared" ca="1" si="791"/>
        <v>0</v>
      </c>
      <c r="AR146" s="151">
        <f t="shared" ca="1" si="792"/>
        <v>0</v>
      </c>
      <c r="AS146" s="188">
        <f t="shared" ca="1" si="793"/>
        <v>0</v>
      </c>
      <c r="AT146" s="70"/>
      <c r="AU146" s="126">
        <f t="shared" ca="1" si="794"/>
        <v>0</v>
      </c>
      <c r="AV146" s="126"/>
      <c r="AW146" s="97">
        <f t="shared" ca="1" si="795"/>
        <v>0</v>
      </c>
      <c r="AX146" s="126">
        <f t="shared" ca="1" si="796"/>
        <v>0</v>
      </c>
      <c r="AY146" s="151">
        <f t="shared" ca="1" si="797"/>
        <v>0</v>
      </c>
      <c r="AZ146" s="188">
        <f t="shared" ca="1" si="798"/>
        <v>0</v>
      </c>
      <c r="BA146" s="144"/>
      <c r="BB146" s="126">
        <f t="shared" ca="1" si="799"/>
        <v>0</v>
      </c>
      <c r="BC146" s="126"/>
      <c r="BD146" s="97">
        <f t="shared" ca="1" si="800"/>
        <v>0</v>
      </c>
      <c r="BE146" s="97">
        <f t="shared" ca="1" si="801"/>
        <v>0</v>
      </c>
      <c r="BF146" s="151">
        <f t="shared" ca="1" si="802"/>
        <v>0</v>
      </c>
      <c r="BG146" s="188">
        <f t="shared" ca="1" si="803"/>
        <v>0</v>
      </c>
      <c r="BH146" s="144"/>
      <c r="BI146" s="126">
        <f t="shared" ca="1" si="804"/>
        <v>0</v>
      </c>
      <c r="BJ146" s="126"/>
      <c r="BK146" s="97">
        <f t="shared" ca="1" si="750"/>
        <v>0</v>
      </c>
      <c r="BL146" s="97">
        <f t="shared" ca="1" si="805"/>
        <v>0</v>
      </c>
      <c r="BM146" s="151">
        <f t="shared" ca="1" si="806"/>
        <v>0</v>
      </c>
      <c r="BN146" s="188">
        <f t="shared" ca="1" si="807"/>
        <v>0</v>
      </c>
      <c r="BO146" s="144"/>
      <c r="BP146" s="126">
        <f t="shared" ca="1" si="808"/>
        <v>0</v>
      </c>
      <c r="BQ146" s="126"/>
      <c r="BR146" s="97">
        <f t="shared" ca="1" si="809"/>
        <v>0</v>
      </c>
      <c r="BS146" s="97">
        <f t="shared" ca="1" si="810"/>
        <v>0</v>
      </c>
      <c r="BT146" s="151">
        <f t="shared" ca="1" si="811"/>
        <v>0</v>
      </c>
      <c r="BU146" s="188">
        <f t="shared" ca="1" si="812"/>
        <v>0</v>
      </c>
      <c r="BV146" s="144"/>
      <c r="BW146" s="126">
        <f t="shared" ca="1" si="813"/>
        <v>0</v>
      </c>
      <c r="BX146" s="126"/>
      <c r="BY146" s="97">
        <f t="shared" ca="1" si="814"/>
        <v>0</v>
      </c>
      <c r="BZ146" s="97">
        <f t="shared" ca="1" si="815"/>
        <v>0</v>
      </c>
      <c r="CA146" s="151">
        <f t="shared" ca="1" si="816"/>
        <v>0</v>
      </c>
      <c r="CB146" s="188">
        <f t="shared" ca="1" si="817"/>
        <v>0</v>
      </c>
      <c r="CC146" s="144"/>
      <c r="CD146" s="126">
        <f t="shared" ca="1" si="818"/>
        <v>0</v>
      </c>
      <c r="CE146" s="126"/>
      <c r="CF146" s="97">
        <f t="shared" ca="1" si="819"/>
        <v>0</v>
      </c>
      <c r="CG146" s="97">
        <f t="shared" ca="1" si="820"/>
        <v>0</v>
      </c>
      <c r="CH146" s="151">
        <f t="shared" ca="1" si="821"/>
        <v>0</v>
      </c>
      <c r="CI146" s="188">
        <f t="shared" ca="1" si="822"/>
        <v>0</v>
      </c>
      <c r="CJ146" s="5"/>
      <c r="CK146" s="5"/>
      <c r="CL146" s="5"/>
    </row>
    <row r="147" spans="1:90" s="6" customFormat="1">
      <c r="A147" s="133" t="s">
        <v>177</v>
      </c>
      <c r="B147" s="63">
        <v>52959501</v>
      </c>
      <c r="C147" s="134">
        <f t="shared" ca="1" si="720"/>
        <v>0</v>
      </c>
      <c r="D147" s="78"/>
      <c r="E147" s="126">
        <f ca="1">$C147/COUNTA(E$1:$CI$1)</f>
        <v>0</v>
      </c>
      <c r="F147" s="126"/>
      <c r="G147" s="104">
        <f t="shared" ca="1" si="765"/>
        <v>0</v>
      </c>
      <c r="H147" s="98">
        <f t="shared" ca="1" si="766"/>
        <v>0</v>
      </c>
      <c r="I147" s="57">
        <f t="shared" ca="1" si="767"/>
        <v>0</v>
      </c>
      <c r="J147" s="188">
        <f t="shared" ca="1" si="768"/>
        <v>0</v>
      </c>
      <c r="K147" s="70"/>
      <c r="L147" s="126">
        <f t="shared" ca="1" si="769"/>
        <v>0</v>
      </c>
      <c r="M147" s="126"/>
      <c r="N147" s="97">
        <f t="shared" ca="1" si="823"/>
        <v>0</v>
      </c>
      <c r="O147" s="98">
        <f t="shared" ca="1" si="824"/>
        <v>0</v>
      </c>
      <c r="P147" s="151">
        <f t="shared" ca="1" si="825"/>
        <v>0</v>
      </c>
      <c r="Q147" s="188">
        <f t="shared" ca="1" si="826"/>
        <v>0</v>
      </c>
      <c r="R147" s="70"/>
      <c r="S147" s="126">
        <f t="shared" ca="1" si="774"/>
        <v>0</v>
      </c>
      <c r="T147" s="126"/>
      <c r="U147" s="97">
        <f t="shared" ca="1" si="775"/>
        <v>0</v>
      </c>
      <c r="V147" s="97">
        <f t="shared" ca="1" si="776"/>
        <v>0</v>
      </c>
      <c r="W147" s="151">
        <f t="shared" ca="1" si="777"/>
        <v>0</v>
      </c>
      <c r="X147" s="188">
        <f t="shared" ca="1" si="778"/>
        <v>0</v>
      </c>
      <c r="Y147" s="70"/>
      <c r="Z147" s="126">
        <f t="shared" ca="1" si="779"/>
        <v>0</v>
      </c>
      <c r="AA147" s="126"/>
      <c r="AB147" s="97">
        <f t="shared" ca="1" si="780"/>
        <v>0</v>
      </c>
      <c r="AC147" s="97">
        <f t="shared" ca="1" si="781"/>
        <v>0</v>
      </c>
      <c r="AD147" s="151">
        <f t="shared" ca="1" si="782"/>
        <v>0</v>
      </c>
      <c r="AE147" s="188">
        <f t="shared" ca="1" si="783"/>
        <v>0</v>
      </c>
      <c r="AF147" s="70"/>
      <c r="AG147" s="126">
        <f t="shared" ca="1" si="784"/>
        <v>0</v>
      </c>
      <c r="AH147" s="126"/>
      <c r="AI147" s="97">
        <f t="shared" ca="1" si="785"/>
        <v>0</v>
      </c>
      <c r="AJ147" s="97">
        <f t="shared" ca="1" si="786"/>
        <v>0</v>
      </c>
      <c r="AK147" s="151">
        <f t="shared" ca="1" si="787"/>
        <v>0</v>
      </c>
      <c r="AL147" s="188">
        <f t="shared" ca="1" si="788"/>
        <v>0</v>
      </c>
      <c r="AM147" s="70"/>
      <c r="AN147" s="126">
        <f t="shared" ca="1" si="789"/>
        <v>0</v>
      </c>
      <c r="AO147" s="126"/>
      <c r="AP147" s="97">
        <f t="shared" ca="1" si="790"/>
        <v>0</v>
      </c>
      <c r="AQ147" s="97">
        <f t="shared" ca="1" si="791"/>
        <v>0</v>
      </c>
      <c r="AR147" s="151">
        <f t="shared" ca="1" si="792"/>
        <v>0</v>
      </c>
      <c r="AS147" s="188">
        <f t="shared" ca="1" si="793"/>
        <v>0</v>
      </c>
      <c r="AT147" s="70"/>
      <c r="AU147" s="126">
        <f t="shared" ca="1" si="794"/>
        <v>0</v>
      </c>
      <c r="AV147" s="126"/>
      <c r="AW147" s="97">
        <f t="shared" ca="1" si="795"/>
        <v>0</v>
      </c>
      <c r="AX147" s="126">
        <f t="shared" ca="1" si="796"/>
        <v>0</v>
      </c>
      <c r="AY147" s="151">
        <f t="shared" ca="1" si="797"/>
        <v>0</v>
      </c>
      <c r="AZ147" s="188">
        <f t="shared" ca="1" si="798"/>
        <v>0</v>
      </c>
      <c r="BA147" s="144"/>
      <c r="BB147" s="126">
        <f t="shared" ca="1" si="799"/>
        <v>0</v>
      </c>
      <c r="BC147" s="126"/>
      <c r="BD147" s="97">
        <f t="shared" ca="1" si="800"/>
        <v>0</v>
      </c>
      <c r="BE147" s="97">
        <f t="shared" ca="1" si="801"/>
        <v>0</v>
      </c>
      <c r="BF147" s="151">
        <f t="shared" ca="1" si="802"/>
        <v>0</v>
      </c>
      <c r="BG147" s="188">
        <f t="shared" ca="1" si="803"/>
        <v>0</v>
      </c>
      <c r="BH147" s="144"/>
      <c r="BI147" s="126">
        <f t="shared" ca="1" si="804"/>
        <v>0</v>
      </c>
      <c r="BJ147" s="126"/>
      <c r="BK147" s="97">
        <f t="shared" ca="1" si="750"/>
        <v>0</v>
      </c>
      <c r="BL147" s="97">
        <f t="shared" ca="1" si="805"/>
        <v>0</v>
      </c>
      <c r="BM147" s="151">
        <f t="shared" ca="1" si="806"/>
        <v>0</v>
      </c>
      <c r="BN147" s="188">
        <f t="shared" ca="1" si="807"/>
        <v>0</v>
      </c>
      <c r="BO147" s="144"/>
      <c r="BP147" s="126">
        <f t="shared" ca="1" si="808"/>
        <v>0</v>
      </c>
      <c r="BQ147" s="126"/>
      <c r="BR147" s="97">
        <f t="shared" ca="1" si="809"/>
        <v>0</v>
      </c>
      <c r="BS147" s="97">
        <f t="shared" ca="1" si="810"/>
        <v>0</v>
      </c>
      <c r="BT147" s="151">
        <f t="shared" ca="1" si="811"/>
        <v>0</v>
      </c>
      <c r="BU147" s="188">
        <f t="shared" ca="1" si="812"/>
        <v>0</v>
      </c>
      <c r="BV147" s="144"/>
      <c r="BW147" s="126">
        <f t="shared" ca="1" si="813"/>
        <v>0</v>
      </c>
      <c r="BX147" s="126"/>
      <c r="BY147" s="97">
        <f t="shared" ca="1" si="814"/>
        <v>0</v>
      </c>
      <c r="BZ147" s="97">
        <f t="shared" ca="1" si="815"/>
        <v>0</v>
      </c>
      <c r="CA147" s="151">
        <f t="shared" ca="1" si="816"/>
        <v>0</v>
      </c>
      <c r="CB147" s="188">
        <f t="shared" ca="1" si="817"/>
        <v>0</v>
      </c>
      <c r="CC147" s="144"/>
      <c r="CD147" s="126">
        <f t="shared" ca="1" si="818"/>
        <v>0</v>
      </c>
      <c r="CE147" s="126"/>
      <c r="CF147" s="97">
        <f t="shared" ca="1" si="819"/>
        <v>0</v>
      </c>
      <c r="CG147" s="97">
        <f t="shared" ca="1" si="820"/>
        <v>0</v>
      </c>
      <c r="CH147" s="151">
        <f t="shared" ca="1" si="821"/>
        <v>0</v>
      </c>
      <c r="CI147" s="188">
        <f t="shared" ca="1" si="822"/>
        <v>0</v>
      </c>
      <c r="CJ147" s="5"/>
      <c r="CK147" s="5"/>
      <c r="CL147" s="5"/>
    </row>
    <row r="148" spans="1:90" s="6" customFormat="1">
      <c r="A148" s="133" t="s">
        <v>189</v>
      </c>
      <c r="B148" s="63">
        <v>52992001</v>
      </c>
      <c r="C148" s="134">
        <f t="shared" ca="1" si="720"/>
        <v>0</v>
      </c>
      <c r="D148" s="78"/>
      <c r="E148" s="126">
        <f ca="1">$C148/COUNTA(E$1:$CI$1)</f>
        <v>0</v>
      </c>
      <c r="F148" s="126"/>
      <c r="G148" s="104">
        <f t="shared" ca="1" si="765"/>
        <v>0</v>
      </c>
      <c r="H148" s="98">
        <f t="shared" ca="1" si="766"/>
        <v>0</v>
      </c>
      <c r="I148" s="57">
        <f ca="1">IFERROR(IFERROR(VLOOKUP(TEXT($B148,0),INDIRECT("'Balance a "&amp;LEFT(E$1,3)&amp;"'!$B$3:$G$300"),4,0),VLOOKUP(VALUE($B148),INDIRECT("'Balance a "&amp;LEFT(E$1,3)&amp;"'!$B$3:$G$300"),4,0)),0)</f>
        <v>0</v>
      </c>
      <c r="J148" s="188">
        <f t="shared" ca="1" si="768"/>
        <v>0</v>
      </c>
      <c r="K148" s="70"/>
      <c r="L148" s="126">
        <f t="shared" ca="1" si="769"/>
        <v>0</v>
      </c>
      <c r="M148" s="126"/>
      <c r="N148" s="97">
        <f t="shared" ca="1" si="823"/>
        <v>0</v>
      </c>
      <c r="O148" s="98">
        <f t="shared" ca="1" si="824"/>
        <v>0</v>
      </c>
      <c r="P148" s="151">
        <f t="shared" ca="1" si="825"/>
        <v>0</v>
      </c>
      <c r="Q148" s="188">
        <f t="shared" ca="1" si="826"/>
        <v>0</v>
      </c>
      <c r="R148" s="70"/>
      <c r="S148" s="126">
        <f t="shared" ca="1" si="774"/>
        <v>0</v>
      </c>
      <c r="T148" s="126"/>
      <c r="U148" s="97">
        <f t="shared" ca="1" si="775"/>
        <v>0</v>
      </c>
      <c r="V148" s="97">
        <f t="shared" ca="1" si="776"/>
        <v>0</v>
      </c>
      <c r="W148" s="151">
        <f t="shared" ca="1" si="777"/>
        <v>0</v>
      </c>
      <c r="X148" s="188">
        <f t="shared" ca="1" si="778"/>
        <v>0</v>
      </c>
      <c r="Y148" s="70"/>
      <c r="Z148" s="126">
        <f t="shared" ca="1" si="779"/>
        <v>0</v>
      </c>
      <c r="AA148" s="126"/>
      <c r="AB148" s="97">
        <f t="shared" ca="1" si="780"/>
        <v>0</v>
      </c>
      <c r="AC148" s="97">
        <f t="shared" ca="1" si="781"/>
        <v>0</v>
      </c>
      <c r="AD148" s="151">
        <f t="shared" ca="1" si="782"/>
        <v>0</v>
      </c>
      <c r="AE148" s="188">
        <f t="shared" ca="1" si="783"/>
        <v>0</v>
      </c>
      <c r="AF148" s="70"/>
      <c r="AG148" s="126">
        <f t="shared" ca="1" si="784"/>
        <v>0</v>
      </c>
      <c r="AH148" s="126"/>
      <c r="AI148" s="97">
        <f t="shared" ca="1" si="785"/>
        <v>0</v>
      </c>
      <c r="AJ148" s="97">
        <f t="shared" ca="1" si="786"/>
        <v>0</v>
      </c>
      <c r="AK148" s="151">
        <f t="shared" ca="1" si="787"/>
        <v>0</v>
      </c>
      <c r="AL148" s="188">
        <f t="shared" ca="1" si="788"/>
        <v>0</v>
      </c>
      <c r="AM148" s="70"/>
      <c r="AN148" s="126">
        <f t="shared" ca="1" si="789"/>
        <v>0</v>
      </c>
      <c r="AO148" s="126"/>
      <c r="AP148" s="97">
        <f t="shared" ca="1" si="790"/>
        <v>0</v>
      </c>
      <c r="AQ148" s="97">
        <f t="shared" ca="1" si="791"/>
        <v>0</v>
      </c>
      <c r="AR148" s="151">
        <f t="shared" ca="1" si="792"/>
        <v>0</v>
      </c>
      <c r="AS148" s="188">
        <f t="shared" ca="1" si="793"/>
        <v>0</v>
      </c>
      <c r="AT148" s="70"/>
      <c r="AU148" s="126">
        <f t="shared" ca="1" si="794"/>
        <v>0</v>
      </c>
      <c r="AV148" s="126"/>
      <c r="AW148" s="97">
        <f t="shared" ca="1" si="795"/>
        <v>0</v>
      </c>
      <c r="AX148" s="126">
        <f t="shared" ca="1" si="796"/>
        <v>0</v>
      </c>
      <c r="AY148" s="151">
        <f t="shared" ca="1" si="797"/>
        <v>0</v>
      </c>
      <c r="AZ148" s="188">
        <f t="shared" ca="1" si="798"/>
        <v>0</v>
      </c>
      <c r="BA148" s="144"/>
      <c r="BB148" s="126">
        <f t="shared" ca="1" si="799"/>
        <v>0</v>
      </c>
      <c r="BC148" s="126"/>
      <c r="BD148" s="97">
        <f t="shared" ca="1" si="800"/>
        <v>0</v>
      </c>
      <c r="BE148" s="97">
        <f t="shared" ca="1" si="801"/>
        <v>0</v>
      </c>
      <c r="BF148" s="151">
        <f t="shared" ca="1" si="802"/>
        <v>0</v>
      </c>
      <c r="BG148" s="188">
        <f t="shared" ca="1" si="803"/>
        <v>0</v>
      </c>
      <c r="BH148" s="144"/>
      <c r="BI148" s="126">
        <f t="shared" ca="1" si="804"/>
        <v>0</v>
      </c>
      <c r="BJ148" s="126"/>
      <c r="BK148" s="97">
        <f t="shared" ca="1" si="750"/>
        <v>0</v>
      </c>
      <c r="BL148" s="97">
        <f t="shared" ca="1" si="805"/>
        <v>0</v>
      </c>
      <c r="BM148" s="151">
        <f t="shared" ca="1" si="806"/>
        <v>0</v>
      </c>
      <c r="BN148" s="188">
        <f t="shared" ca="1" si="807"/>
        <v>0</v>
      </c>
      <c r="BO148" s="144"/>
      <c r="BP148" s="126">
        <f t="shared" ca="1" si="808"/>
        <v>0</v>
      </c>
      <c r="BQ148" s="126"/>
      <c r="BR148" s="97">
        <f t="shared" ca="1" si="809"/>
        <v>0</v>
      </c>
      <c r="BS148" s="97">
        <f t="shared" ca="1" si="810"/>
        <v>0</v>
      </c>
      <c r="BT148" s="151">
        <f t="shared" ca="1" si="811"/>
        <v>0</v>
      </c>
      <c r="BU148" s="188">
        <f t="shared" ca="1" si="812"/>
        <v>0</v>
      </c>
      <c r="BV148" s="144"/>
      <c r="BW148" s="126">
        <f t="shared" ca="1" si="813"/>
        <v>0</v>
      </c>
      <c r="BX148" s="126"/>
      <c r="BY148" s="97">
        <f t="shared" ca="1" si="814"/>
        <v>0</v>
      </c>
      <c r="BZ148" s="97">
        <f t="shared" ca="1" si="815"/>
        <v>0</v>
      </c>
      <c r="CA148" s="151">
        <f t="shared" ca="1" si="816"/>
        <v>0</v>
      </c>
      <c r="CB148" s="188">
        <f t="shared" ca="1" si="817"/>
        <v>0</v>
      </c>
      <c r="CC148" s="144"/>
      <c r="CD148" s="126">
        <f t="shared" ca="1" si="818"/>
        <v>0</v>
      </c>
      <c r="CE148" s="126"/>
      <c r="CF148" s="97">
        <f t="shared" ca="1" si="819"/>
        <v>0</v>
      </c>
      <c r="CG148" s="97">
        <f t="shared" ca="1" si="820"/>
        <v>0</v>
      </c>
      <c r="CH148" s="151">
        <f t="shared" ca="1" si="821"/>
        <v>0</v>
      </c>
      <c r="CI148" s="188">
        <f t="shared" ca="1" si="822"/>
        <v>0</v>
      </c>
      <c r="CJ148" s="5"/>
      <c r="CK148" s="5"/>
      <c r="CL148" s="5"/>
    </row>
    <row r="149" spans="1:90" ht="6.95" customHeight="1" thickBot="1">
      <c r="E149" s="102"/>
      <c r="F149" s="102"/>
      <c r="G149" s="73"/>
      <c r="H149" s="102"/>
      <c r="I149" s="102"/>
      <c r="J149" s="70"/>
      <c r="K149" s="70"/>
      <c r="L149" s="102"/>
      <c r="M149" s="102"/>
      <c r="N149" s="73"/>
      <c r="O149" s="102"/>
      <c r="P149" s="102"/>
      <c r="Q149" s="70"/>
      <c r="R149" s="70"/>
      <c r="S149" s="102"/>
      <c r="T149" s="102"/>
      <c r="U149" s="73"/>
      <c r="V149" s="102"/>
      <c r="W149" s="102"/>
      <c r="X149" s="70"/>
      <c r="Y149" s="70"/>
      <c r="Z149" s="102"/>
      <c r="AA149" s="102"/>
      <c r="AB149" s="73"/>
      <c r="AC149" s="102"/>
      <c r="AD149" s="102"/>
      <c r="AE149" s="70"/>
      <c r="AF149" s="70"/>
      <c r="AG149" s="102"/>
      <c r="AH149" s="102"/>
      <c r="AI149" s="73"/>
      <c r="AJ149" s="102"/>
      <c r="AK149" s="102"/>
      <c r="AL149" s="70"/>
      <c r="AM149" s="70"/>
      <c r="AN149" s="102"/>
      <c r="AO149" s="102"/>
      <c r="AP149" s="73"/>
      <c r="AQ149" s="102"/>
      <c r="AR149" s="102"/>
      <c r="AS149" s="70"/>
      <c r="AT149" s="70"/>
      <c r="AU149" s="102"/>
      <c r="AV149" s="102"/>
      <c r="AW149" s="149"/>
      <c r="AX149" s="167"/>
      <c r="AY149" s="167"/>
      <c r="AZ149" s="144"/>
      <c r="BA149" s="144"/>
      <c r="BB149" s="102"/>
      <c r="BC149" s="102"/>
      <c r="BD149" s="149"/>
      <c r="BE149" s="167"/>
      <c r="BF149" s="167"/>
      <c r="BG149" s="144"/>
      <c r="BH149" s="144"/>
      <c r="BI149" s="102"/>
      <c r="BJ149" s="102"/>
      <c r="BK149" s="149"/>
      <c r="BL149" s="167"/>
      <c r="BM149" s="167"/>
      <c r="BN149" s="144"/>
      <c r="BO149" s="144"/>
      <c r="BP149" s="102"/>
      <c r="BQ149" s="102"/>
      <c r="BR149" s="149"/>
      <c r="BS149" s="167"/>
      <c r="BT149" s="167"/>
      <c r="BU149" s="144"/>
      <c r="BV149" s="144"/>
      <c r="BW149" s="102"/>
      <c r="BX149" s="102"/>
      <c r="BY149" s="149"/>
      <c r="BZ149" s="167"/>
      <c r="CA149" s="167"/>
      <c r="CB149" s="144"/>
      <c r="CC149" s="144"/>
      <c r="CD149" s="102"/>
      <c r="CE149" s="102"/>
      <c r="CF149" s="149"/>
      <c r="CG149" s="167"/>
      <c r="CH149" s="167"/>
      <c r="CI149" s="144"/>
      <c r="CJ149" s="85"/>
      <c r="CK149" s="85"/>
      <c r="CL149" s="85"/>
    </row>
    <row r="150" spans="1:90" s="6" customFormat="1">
      <c r="A150" s="253" t="s">
        <v>7</v>
      </c>
      <c r="B150" s="253"/>
      <c r="C150" s="211">
        <f ca="1">SUM(C153:C161)</f>
        <v>3183209.26</v>
      </c>
      <c r="D150" s="73"/>
      <c r="E150" s="235">
        <f ca="1">SUM(E153:E161)</f>
        <v>265267.4383333333</v>
      </c>
      <c r="F150" s="235"/>
      <c r="G150" s="196">
        <f ca="1">SUM(G153:G161)</f>
        <v>634569.00000000012</v>
      </c>
      <c r="H150" s="196">
        <f ca="1">SUM(H153:H161)</f>
        <v>265267.4383333333</v>
      </c>
      <c r="I150" s="196">
        <f ca="1">SUM(I153:I161)</f>
        <v>634569.00000000012</v>
      </c>
      <c r="J150" s="196">
        <f ca="1">SUM(J153:J161)</f>
        <v>369301.5616666667</v>
      </c>
      <c r="K150" s="72"/>
      <c r="L150" s="235">
        <f ca="1">SUM(L153:L161)</f>
        <v>265267.4383333333</v>
      </c>
      <c r="M150" s="235"/>
      <c r="N150" s="196">
        <f ca="1">SUM(N153:N161)</f>
        <v>149868.11999999973</v>
      </c>
      <c r="O150" s="196">
        <f ca="1">SUM(O153:O161)</f>
        <v>530534.87666666659</v>
      </c>
      <c r="P150" s="196">
        <f ca="1">SUM(P153:P161)</f>
        <v>784437.11999999976</v>
      </c>
      <c r="Q150" s="196">
        <f ca="1">SUM(Q153:Q161)</f>
        <v>115399.31833333352</v>
      </c>
      <c r="R150" s="72"/>
      <c r="S150" s="235">
        <f ca="1">SUM(S153:S161)</f>
        <v>265267.4383333333</v>
      </c>
      <c r="T150" s="235"/>
      <c r="U150" s="196">
        <f ca="1">SUM(U153:U161)</f>
        <v>150162.89000000001</v>
      </c>
      <c r="V150" s="196">
        <f ca="1">SUM(V153:V161)</f>
        <v>795802.31499999994</v>
      </c>
      <c r="W150" s="196">
        <f ca="1">SUM(W153:W161)</f>
        <v>934600.00999999978</v>
      </c>
      <c r="X150" s="196">
        <f ca="1">SUM(X153:X161)</f>
        <v>115104.54833333327</v>
      </c>
      <c r="Y150" s="72"/>
      <c r="Z150" s="235">
        <f ca="1">SUM(Z153:Z161)</f>
        <v>265267.4383333333</v>
      </c>
      <c r="AA150" s="235"/>
      <c r="AB150" s="196">
        <f ca="1">SUM(AB153:AB161)</f>
        <v>261295.13</v>
      </c>
      <c r="AC150" s="196">
        <f ca="1">SUM(AC153:AC161)</f>
        <v>1061069.7533333332</v>
      </c>
      <c r="AD150" s="196">
        <f ca="1">SUM(AD153:AD161)</f>
        <v>1195895.1399999999</v>
      </c>
      <c r="AE150" s="196">
        <f ca="1">SUM(AE153:AE161)</f>
        <v>3972.3083333332861</v>
      </c>
      <c r="AF150" s="72"/>
      <c r="AG150" s="235">
        <f ca="1">SUM(AG153:AG161)</f>
        <v>265267.4383333333</v>
      </c>
      <c r="AH150" s="235"/>
      <c r="AI150" s="196">
        <f ca="1">SUM(AI153:AI161)</f>
        <v>243798.84</v>
      </c>
      <c r="AJ150" s="196">
        <f ca="1">SUM(AJ153:AJ161)</f>
        <v>1326337.1916666664</v>
      </c>
      <c r="AK150" s="196">
        <f ca="1">SUM(AK153:AK161)</f>
        <v>1439693.98</v>
      </c>
      <c r="AL150" s="196">
        <f ca="1">SUM(AL153:AL161)</f>
        <v>21468.598333333295</v>
      </c>
      <c r="AM150" s="72"/>
      <c r="AN150" s="235">
        <f ca="1">SUM(AN153:AN161)</f>
        <v>265267.4383333333</v>
      </c>
      <c r="AO150" s="235"/>
      <c r="AP150" s="196">
        <f ca="1">SUM(AP153:AP161)</f>
        <v>151910.64999999997</v>
      </c>
      <c r="AQ150" s="196">
        <f ca="1">SUM(AQ153:AQ161)</f>
        <v>1591604.63</v>
      </c>
      <c r="AR150" s="196">
        <f ca="1">SUM(AR153:AR161)</f>
        <v>1591604.63</v>
      </c>
      <c r="AS150" s="196">
        <f ca="1">SUM(AS153:AS161)</f>
        <v>113356.78833333333</v>
      </c>
      <c r="AT150" s="72"/>
      <c r="AU150" s="235">
        <f ca="1">SUM(AU153:AU161)</f>
        <v>265267.4383333333</v>
      </c>
      <c r="AV150" s="235"/>
      <c r="AW150" s="161">
        <f ca="1">SUM(AW153:AW161)</f>
        <v>538192.7300000001</v>
      </c>
      <c r="AX150" s="161">
        <f ca="1">SUM(AX153:AX161)</f>
        <v>1856872.0683333331</v>
      </c>
      <c r="AY150" s="161">
        <f ca="1">SUM(AY152:AY161)</f>
        <v>2129797.36</v>
      </c>
      <c r="AZ150" s="161">
        <f ca="1">SUM(AZ153:AZ161)</f>
        <v>-272925.29166666674</v>
      </c>
      <c r="BA150" s="149"/>
      <c r="BB150" s="235">
        <f ca="1">SUM(BB153:BB161)</f>
        <v>265267.4383333333</v>
      </c>
      <c r="BC150" s="235"/>
      <c r="BD150" s="161">
        <f ca="1">SUM(BD153:BD161)</f>
        <v>567365.12000000011</v>
      </c>
      <c r="BE150" s="161">
        <f ca="1">SUM(BE153:BE161)</f>
        <v>2122139.5066666659</v>
      </c>
      <c r="BF150" s="161">
        <f ca="1">SUM(BF152:BF161)</f>
        <v>2697162.4799999995</v>
      </c>
      <c r="BG150" s="195">
        <f ca="1">SUM(BG153:BG161)</f>
        <v>-302097.68166666676</v>
      </c>
      <c r="BH150" s="149"/>
      <c r="BI150" s="242">
        <f ca="1">SUM(BI153:BI161)</f>
        <v>265267.4383333333</v>
      </c>
      <c r="BJ150" s="243"/>
      <c r="BK150" s="165">
        <f ca="1">SUM(BK153:BK161)</f>
        <v>0</v>
      </c>
      <c r="BL150" s="165">
        <f ca="1">SUM(BL153:BL161)</f>
        <v>2387406.9449999994</v>
      </c>
      <c r="BM150" s="165">
        <f ca="1">SUM(BM152:BM161)</f>
        <v>0</v>
      </c>
      <c r="BN150" s="166">
        <f ca="1">SUM(BN153:BN161)</f>
        <v>265267.4383333333</v>
      </c>
      <c r="BO150" s="149"/>
      <c r="BP150" s="242">
        <f ca="1">SUM(BP153:BP161)</f>
        <v>265267.4383333333</v>
      </c>
      <c r="BQ150" s="243"/>
      <c r="BR150" s="165">
        <f ca="1">SUM(BR153:BR161)</f>
        <v>0</v>
      </c>
      <c r="BS150" s="165">
        <f ca="1">SUM(BS153:BS161)</f>
        <v>2652674.3833333328</v>
      </c>
      <c r="BT150" s="165">
        <f ca="1">SUM(BT152:BT161)</f>
        <v>0</v>
      </c>
      <c r="BU150" s="166">
        <f ca="1">SUM(BU153:BU161)</f>
        <v>265267.4383333333</v>
      </c>
      <c r="BV150" s="149"/>
      <c r="BW150" s="235">
        <f ca="1">SUM(BW153:BW161)</f>
        <v>265267.4383333333</v>
      </c>
      <c r="BX150" s="235"/>
      <c r="BY150" s="161">
        <f ca="1">SUM(BY153:BY161)</f>
        <v>0</v>
      </c>
      <c r="BZ150" s="161">
        <f ca="1">SUM(BZ153:BZ161)</f>
        <v>2917941.8216666663</v>
      </c>
      <c r="CA150" s="161">
        <f ca="1">SUM(CA152:CA161)</f>
        <v>0</v>
      </c>
      <c r="CB150" s="195">
        <f ca="1">SUM(CB153:CB161)</f>
        <v>265267.4383333333</v>
      </c>
      <c r="CC150" s="149"/>
      <c r="CD150" s="235">
        <f ca="1">SUM(CD153:CD161)</f>
        <v>265267.4383333333</v>
      </c>
      <c r="CE150" s="235"/>
      <c r="CF150" s="161">
        <f ca="1">SUM(CF153:CF161)</f>
        <v>0</v>
      </c>
      <c r="CG150" s="161">
        <f ca="1">SUM(CG153:CG161)</f>
        <v>3183209.2599999993</v>
      </c>
      <c r="CH150" s="161">
        <f ca="1">SUM(CH152:CH161)</f>
        <v>0</v>
      </c>
      <c r="CI150" s="195">
        <f ca="1">SUM(CI153:CI161)</f>
        <v>265267.4383333333</v>
      </c>
      <c r="CJ150" s="5"/>
      <c r="CK150" s="5"/>
      <c r="CL150" s="5"/>
    </row>
    <row r="151" spans="1:90" s="6" customFormat="1">
      <c r="A151" s="133" t="s">
        <v>456</v>
      </c>
      <c r="B151" s="63">
        <v>53053501</v>
      </c>
      <c r="C151" s="134">
        <f t="shared" ref="C151:C161" ca="1" si="831">IFERROR(IFERROR(VLOOKUP(TEXT($B151,0),INDIRECT("'Balance a "&amp;LEFT(AN$1,3)&amp;"'!$B$3:$G$300"),6,0),VLOOKUP(VALUE($B151),INDIRECT("'Balance a "&amp;LEFT(AN$1,3)&amp;"'!$B$3:$G$300"),6,0)),0)*2</f>
        <v>0</v>
      </c>
      <c r="D151" s="78"/>
      <c r="E151" s="126">
        <f ca="1">$C151/COUNTA(E$1:$CI$1)</f>
        <v>0</v>
      </c>
      <c r="F151" s="126"/>
      <c r="G151" s="104">
        <f t="shared" ref="G151" ca="1" si="832">IFERROR(I151,0)</f>
        <v>0</v>
      </c>
      <c r="H151" s="98">
        <f t="shared" ref="H151" ca="1" si="833">IFERROR(E151,0)</f>
        <v>0</v>
      </c>
      <c r="I151" s="57">
        <f ca="1">IFERROR(IFERROR(VLOOKUP(TEXT($B151,0),INDIRECT("'Balance a "&amp;LEFT(E$1,3)&amp;"'!$B$3:$G$300"),4,0),VLOOKUP(VALUE($B151),INDIRECT("'Balance a "&amp;LEFT(E$1,3)&amp;"'!$B$3:$G$300"),4,0)),0)</f>
        <v>0</v>
      </c>
      <c r="J151" s="188">
        <f t="shared" ref="J151" ca="1" si="834">IFERROR(G151-E151,0)</f>
        <v>0</v>
      </c>
      <c r="K151" s="70"/>
      <c r="L151" s="126">
        <f t="shared" ref="L151:L161" ca="1" si="835">E151+F151</f>
        <v>0</v>
      </c>
      <c r="M151" s="126"/>
      <c r="N151" s="97">
        <f t="shared" ref="N151:N161" ca="1" si="836">IFERROR(P151-I151,0)</f>
        <v>0</v>
      </c>
      <c r="O151" s="98">
        <f t="shared" ref="O151:O161" ca="1" si="837">SUM(E151:F151,L151:M151)</f>
        <v>0</v>
      </c>
      <c r="P151" s="151">
        <f t="shared" ref="P151:P161" ca="1" si="838">IFERROR(IFERROR(VLOOKUP(TEXT($B151,0),INDIRECT("'Balance a "&amp;LEFT(L$1,3)&amp;"'!$B$3:$G$300"),6,0),VLOOKUP(VALUE($B151),INDIRECT("'Balance a "&amp;LEFT(L$1,3)&amp;"'!$B$3:$G$300"),6,0)),0)</f>
        <v>0</v>
      </c>
      <c r="Q151" s="188">
        <f t="shared" ref="Q151:Q161" ca="1" si="839">IFERROR(SUM(L151:M151)-N151,0)</f>
        <v>0</v>
      </c>
      <c r="R151" s="70"/>
      <c r="S151" s="126">
        <f t="shared" ref="S151:S161" ca="1" si="840">L151+M151</f>
        <v>0</v>
      </c>
      <c r="T151" s="126"/>
      <c r="U151" s="97">
        <f t="shared" ref="U151:U161" ca="1" si="841">IFERROR(W151-P151,0)</f>
        <v>0</v>
      </c>
      <c r="V151" s="97">
        <f t="shared" ref="V151:V161" ca="1" si="842">SUM(E151:F151,L151:M151,S151:T151)</f>
        <v>0</v>
      </c>
      <c r="W151" s="151">
        <f t="shared" ref="W151:W161" ca="1" si="843">IFERROR(IFERROR(VLOOKUP(TEXT($B151,0),INDIRECT("'Balance a "&amp;LEFT(S$1,3)&amp;"'!$B$3:$G$300"),6,0),VLOOKUP(VALUE($B151),INDIRECT("'Balance a "&amp;LEFT(S$1,3)&amp;"'!$B$3:$G$300"),6,0)),0)</f>
        <v>0</v>
      </c>
      <c r="X151" s="188">
        <f t="shared" ref="X151:X161" ca="1" si="844">IFERROR(SUM(S151:T151)-U151,0)</f>
        <v>0</v>
      </c>
      <c r="Y151" s="70"/>
      <c r="Z151" s="126">
        <f t="shared" ref="Z151:Z161" ca="1" si="845">S151+T151</f>
        <v>0</v>
      </c>
      <c r="AA151" s="126"/>
      <c r="AB151" s="97">
        <f t="shared" ref="AB151:AB161" ca="1" si="846">IFERROR(AD151-W151,0)</f>
        <v>0</v>
      </c>
      <c r="AC151" s="97">
        <f t="shared" ref="AC151:AC161" ca="1" si="847">SUM(E151:F151,L151:M151,S151:T151,Z151:AA151)</f>
        <v>0</v>
      </c>
      <c r="AD151" s="151">
        <f t="shared" ref="AD151:AD161" ca="1" si="848">IFERROR(IFERROR(VLOOKUP(TEXT($B151,0),INDIRECT("'Balance a "&amp;LEFT(Z$1,3)&amp;"'!$B$3:$G$300"),6,0),VLOOKUP(VALUE($B151),INDIRECT("'Balance a "&amp;LEFT(Z$1,3)&amp;"'!$B$3:$G$300"),6,0)),0)</f>
        <v>0</v>
      </c>
      <c r="AE151" s="188">
        <f t="shared" ref="AE151:AE161" ca="1" si="849">IFERROR(SUM(Z151:AA151)-AB151,0)</f>
        <v>0</v>
      </c>
      <c r="AF151" s="70"/>
      <c r="AG151" s="126">
        <f t="shared" ref="AG151:AG161" ca="1" si="850">Z151+AA151</f>
        <v>0</v>
      </c>
      <c r="AH151" s="126"/>
      <c r="AI151" s="97">
        <f t="shared" ref="AI151:AI161" ca="1" si="851">IFERROR(AK151-AD151,0)</f>
        <v>0</v>
      </c>
      <c r="AJ151" s="97">
        <f t="shared" ref="AJ151:AJ161" ca="1" si="852">SUM(E151:F151,L151:M151,S151:T151,Z151:AA151,AG151:AH151)</f>
        <v>0</v>
      </c>
      <c r="AK151" s="151">
        <f t="shared" ref="AK151:AK161" ca="1" si="853">IFERROR(IFERROR(VLOOKUP(TEXT($B151,0),INDIRECT("'Balance a "&amp;LEFT(AG$1,3)&amp;"'!$B$3:$G$300"),6,0),VLOOKUP(VALUE($B151),INDIRECT("'Balance a "&amp;LEFT(AG$1,3)&amp;"'!$B$3:$G$300"),6,0)),0)</f>
        <v>0</v>
      </c>
      <c r="AL151" s="188">
        <f t="shared" ref="AL151:AL161" ca="1" si="854">IFERROR(SUM(AG151:AH151)-AI151,0)</f>
        <v>0</v>
      </c>
      <c r="AM151" s="70"/>
      <c r="AN151" s="126">
        <f t="shared" ref="AN151:AN161" ca="1" si="855">AG151+AH151</f>
        <v>0</v>
      </c>
      <c r="AO151" s="126"/>
      <c r="AP151" s="97">
        <f t="shared" ref="AP151:AP161" ca="1" si="856">IFERROR(AR151-AK151,0)</f>
        <v>0</v>
      </c>
      <c r="AQ151" s="97">
        <f t="shared" ref="AQ151:AQ161" ca="1" si="857">SUM(E151:F151,L151:M151,S151:T151,Z151:AA151,AG151:AH151,AN151:AO151)</f>
        <v>0</v>
      </c>
      <c r="AR151" s="151">
        <f t="shared" ref="AR151:AR161" ca="1" si="858">IFERROR(IFERROR(VLOOKUP(TEXT($B151,0),INDIRECT("'Balance a "&amp;LEFT(AN$1,3)&amp;"'!$B$3:$G$300"),6,0),VLOOKUP(VALUE($B151),INDIRECT("'Balance a "&amp;LEFT(AN$1,3)&amp;"'!$B$3:$G$300"),6,0)),0)</f>
        <v>0</v>
      </c>
      <c r="AS151" s="188">
        <f t="shared" ref="AS151:AS161" ca="1" si="859">IFERROR(SUM(AN151:AO151)-AP151,0)</f>
        <v>0</v>
      </c>
      <c r="AT151" s="70"/>
      <c r="AU151" s="126">
        <f t="shared" ref="AU151:AU161" ca="1" si="860">AN151+AO151</f>
        <v>0</v>
      </c>
      <c r="AV151" s="126"/>
      <c r="AW151" s="97">
        <f t="shared" ref="AW151:AW161" ca="1" si="861">IFERROR(AY151-AR151,0)</f>
        <v>0</v>
      </c>
      <c r="AX151" s="126">
        <f t="shared" ref="AX151:AX161" ca="1" si="862">SUM(E151:F151,L151:M151,S151:T151,Z151:AA151,AG151:AH151,AN151:AO151,AU151:AV151)</f>
        <v>0</v>
      </c>
      <c r="AY151" s="151">
        <f t="shared" ref="AY151:AY161" ca="1" si="863">IFERROR(IFERROR(VLOOKUP(TEXT($B151,0),INDIRECT("'Balance a "&amp;LEFT(AU$1,3)&amp;"'!$B$3:$G$300"),6,0),VLOOKUP(VALUE($B151),INDIRECT("'Balance a "&amp;LEFT(AU$1,3)&amp;"'!$B$3:$G$300"),6,0)),0)</f>
        <v>0</v>
      </c>
      <c r="AZ151" s="188">
        <f t="shared" ref="AZ151:AZ161" ca="1" si="864">IFERROR(SUM(AU151:AV151)-AW151,0)</f>
        <v>0</v>
      </c>
      <c r="BA151" s="144"/>
      <c r="BB151" s="126">
        <f t="shared" ref="BB151:BB161" ca="1" si="865">AU151+AV151</f>
        <v>0</v>
      </c>
      <c r="BC151" s="126"/>
      <c r="BD151" s="97">
        <f t="shared" ref="BD151:BD161" ca="1" si="866">IFERROR(BF151-AY151,0)</f>
        <v>0</v>
      </c>
      <c r="BE151" s="97">
        <f t="shared" ref="BE151:BE161" ca="1" si="867">SUM(E151:F151,L151:M151,S151:T151,Z151:AA151,AG151:AH151,AN151:AO151,AU151:AV151,BB151:BC151)</f>
        <v>0</v>
      </c>
      <c r="BF151" s="151">
        <f t="shared" ref="BF151:BF161" ca="1" si="868">IFERROR(IFERROR(VLOOKUP(TEXT($B151,0),INDIRECT("'Balance a "&amp;LEFT(BB$1,3)&amp;"'!$B$3:$G$300"),6,0),VLOOKUP(VALUE($B151),INDIRECT("'Balance a "&amp;LEFT(BB$1,3)&amp;"'!$B$3:$G$300"),6,0)),0)</f>
        <v>0</v>
      </c>
      <c r="BG151" s="188">
        <f t="shared" ref="BG151:BG161" ca="1" si="869">IFERROR(SUM(BB151:BC151)-BD151,0)</f>
        <v>0</v>
      </c>
      <c r="BH151" s="144"/>
      <c r="BI151" s="126">
        <f t="shared" ref="BI151:BI161" ca="1" si="870">BB151+BC151</f>
        <v>0</v>
      </c>
      <c r="BJ151" s="126"/>
      <c r="BK151" s="97">
        <f t="shared" ref="BK151:BK161" ca="1" si="871">IFERROR(IF(BM151=0,0,BM151-BF151),0)</f>
        <v>0</v>
      </c>
      <c r="BL151" s="97">
        <f t="shared" ref="BL151:BL161" ca="1" si="872">SUM(E151:F151,L151:M151,S151:T151,Z151:AA151,AG151:AH151,AN151:AO151,AU151:AV151,BB151:BC151,BI151:BJ151)</f>
        <v>0</v>
      </c>
      <c r="BM151" s="151">
        <f t="shared" ref="BM151:BM161" ca="1" si="873">IFERROR(IFERROR(VLOOKUP(TEXT($B151,0),INDIRECT("'Balance a "&amp;LEFT(BI$1,3)&amp;"'!$B$3:$G$300"),6,0),VLOOKUP(VALUE($B151),INDIRECT("'Balance a "&amp;LEFT(BI$1,3)&amp;"'!$B$3:$G$300"),6,0)),0)</f>
        <v>0</v>
      </c>
      <c r="BN151" s="188">
        <f t="shared" ref="BN151:BN161" ca="1" si="874">IFERROR(SUM(BI151:BJ151)-BK151,0)</f>
        <v>0</v>
      </c>
      <c r="BO151" s="144"/>
      <c r="BP151" s="126">
        <f t="shared" ref="BP151:BP161" ca="1" si="875">BI151+BJ151</f>
        <v>0</v>
      </c>
      <c r="BQ151" s="126"/>
      <c r="BR151" s="97">
        <f t="shared" ref="BR151:BR161" ca="1" si="876">IFERROR(BT151-BM151,0)</f>
        <v>0</v>
      </c>
      <c r="BS151" s="97">
        <f t="shared" ref="BS151:BS161" ca="1" si="877">SUM(E151:F151,L151:M151,S151:T151,Z151:AA151,AG151:AH151,AN151:AO151,AU151:AV151,BB151:BC151,BI151:BJ151,BP151:BQ151)</f>
        <v>0</v>
      </c>
      <c r="BT151" s="151">
        <f t="shared" ref="BT151:BT161" ca="1" si="878">IFERROR(IFERROR(VLOOKUP(TEXT($B151,0),INDIRECT("'Balance a "&amp;LEFT(BP$1,3)&amp;"'!$B$3:$G$300"),6,0),VLOOKUP(VALUE($B151),INDIRECT("'Balance a "&amp;LEFT(BP$1,3)&amp;"'!$B$3:$G$300"),6,0)),0)</f>
        <v>0</v>
      </c>
      <c r="BU151" s="188">
        <f t="shared" ref="BU151:BU161" ca="1" si="879">IFERROR(SUM(BP151:BQ151)-BR151,0)</f>
        <v>0</v>
      </c>
      <c r="BV151" s="144"/>
      <c r="BW151" s="126">
        <f t="shared" ref="BW151:BW161" ca="1" si="880">BP151+BQ151</f>
        <v>0</v>
      </c>
      <c r="BX151" s="126"/>
      <c r="BY151" s="97">
        <f t="shared" ref="BY151:BY161" ca="1" si="881">IFERROR(CA151-BT151,0)</f>
        <v>0</v>
      </c>
      <c r="BZ151" s="97">
        <f t="shared" ref="BZ151:BZ161" ca="1" si="882">SUM(E151:F151,L151:M151,S151:T151,Z151:AA151,AG151:AH151,AN151:AO151,AU151:AV151,BB151:BC151,BI151:BJ151,BP151:BQ151,BW151:BX151)</f>
        <v>0</v>
      </c>
      <c r="CA151" s="151">
        <f t="shared" ref="CA151:CA161" ca="1" si="883">IFERROR(IFERROR(VLOOKUP(TEXT($B151,0),INDIRECT("'Balance a "&amp;LEFT(BW$1,3)&amp;"'!$B$3:$G$300"),6,0),VLOOKUP(VALUE($B151),INDIRECT("'Balance a "&amp;LEFT(BW$1,3)&amp;"'!$B$3:$G$300"),6,0)),0)</f>
        <v>0</v>
      </c>
      <c r="CB151" s="188">
        <f t="shared" ref="CB151:CB161" ca="1" si="884">IFERROR(SUM(BW151:BX151)-BY151,0)</f>
        <v>0</v>
      </c>
      <c r="CC151" s="144"/>
      <c r="CD151" s="126">
        <f t="shared" ref="CD151:CD161" ca="1" si="885">BW151+BX151</f>
        <v>0</v>
      </c>
      <c r="CE151" s="126"/>
      <c r="CF151" s="97">
        <f t="shared" ref="CF151:CF161" ca="1" si="886">IFERROR(CH151-CA151,0)</f>
        <v>0</v>
      </c>
      <c r="CG151" s="97">
        <f t="shared" ref="CG151:CG161" ca="1" si="887">SUM(E151:F151,L151:M151,S151:T151,Z151:AA151,AG151:AH151,AN151:AO151,AU151:AV151,BB151:BC151,BI151:BJ151,BP151:BQ151,BW151:BX151,CD151:CE151)</f>
        <v>0</v>
      </c>
      <c r="CH151" s="151">
        <f t="shared" ref="CH151:CH161" ca="1" si="888">IFERROR(IFERROR(VLOOKUP(TEXT($B151,0),INDIRECT("'Balance a "&amp;LEFT(CD$1,3)&amp;"'!$B$3:$G$300"),6,0),VLOOKUP(VALUE($B151),INDIRECT("'Balance a "&amp;LEFT(CD$1,3)&amp;"'!$B$3:$G$300"),6,0)),0)</f>
        <v>0</v>
      </c>
      <c r="CI151" s="188">
        <f t="shared" ref="CI151:CI161" ca="1" si="889">IFERROR(SUM(CD151:CE151)-CF151,0)</f>
        <v>0</v>
      </c>
      <c r="CJ151" s="5"/>
      <c r="CK151" s="5"/>
      <c r="CL151" s="5"/>
    </row>
    <row r="152" spans="1:90" s="6" customFormat="1">
      <c r="A152" s="133" t="s">
        <v>424</v>
      </c>
      <c r="B152" s="63">
        <v>53101501</v>
      </c>
      <c r="C152" s="134">
        <f t="shared" ca="1" si="831"/>
        <v>0</v>
      </c>
      <c r="D152" s="78"/>
      <c r="E152" s="126">
        <f ca="1">$C152/COUNTA(E$1:$CI$1)</f>
        <v>0</v>
      </c>
      <c r="F152" s="126"/>
      <c r="G152" s="104">
        <f ca="1">IFERROR(I152,0)</f>
        <v>0</v>
      </c>
      <c r="H152" s="98">
        <f ca="1">IFERROR(E152,0)</f>
        <v>0</v>
      </c>
      <c r="I152" s="57">
        <f t="shared" ref="I152:I161" ca="1" si="890">IFERROR(IFERROR(VLOOKUP(TEXT($B152,0),INDIRECT("'Balance a "&amp;LEFT(E$1,3)&amp;"'!$B$3:$G$300"),4,0),VLOOKUP(VALUE($B152),INDIRECT("'Balance a "&amp;LEFT(E$1,3)&amp;"'!$B$3:$G$300"),4,0)),0)</f>
        <v>0</v>
      </c>
      <c r="J152" s="188">
        <f ca="1">IFERROR(G152-E152,0)</f>
        <v>0</v>
      </c>
      <c r="K152" s="70"/>
      <c r="L152" s="126">
        <f t="shared" ca="1" si="835"/>
        <v>0</v>
      </c>
      <c r="M152" s="126"/>
      <c r="N152" s="97">
        <f t="shared" ca="1" si="836"/>
        <v>0</v>
      </c>
      <c r="O152" s="98">
        <f t="shared" ca="1" si="837"/>
        <v>0</v>
      </c>
      <c r="P152" s="151">
        <f t="shared" ca="1" si="838"/>
        <v>0</v>
      </c>
      <c r="Q152" s="188">
        <f t="shared" ca="1" si="839"/>
        <v>0</v>
      </c>
      <c r="R152" s="70"/>
      <c r="S152" s="126">
        <f t="shared" ca="1" si="840"/>
        <v>0</v>
      </c>
      <c r="T152" s="126"/>
      <c r="U152" s="97">
        <f t="shared" ca="1" si="841"/>
        <v>0</v>
      </c>
      <c r="V152" s="97">
        <f t="shared" ca="1" si="842"/>
        <v>0</v>
      </c>
      <c r="W152" s="151">
        <f t="shared" ca="1" si="843"/>
        <v>0</v>
      </c>
      <c r="X152" s="188">
        <f t="shared" ca="1" si="844"/>
        <v>0</v>
      </c>
      <c r="Y152" s="70"/>
      <c r="Z152" s="126">
        <f t="shared" ca="1" si="845"/>
        <v>0</v>
      </c>
      <c r="AA152" s="126"/>
      <c r="AB152" s="97">
        <f t="shared" ca="1" si="846"/>
        <v>0</v>
      </c>
      <c r="AC152" s="97">
        <f t="shared" ca="1" si="847"/>
        <v>0</v>
      </c>
      <c r="AD152" s="151">
        <f t="shared" ca="1" si="848"/>
        <v>0</v>
      </c>
      <c r="AE152" s="188">
        <f t="shared" ca="1" si="849"/>
        <v>0</v>
      </c>
      <c r="AF152" s="70"/>
      <c r="AG152" s="126">
        <f t="shared" ca="1" si="850"/>
        <v>0</v>
      </c>
      <c r="AH152" s="126"/>
      <c r="AI152" s="97">
        <f t="shared" ca="1" si="851"/>
        <v>0</v>
      </c>
      <c r="AJ152" s="97">
        <f t="shared" ca="1" si="852"/>
        <v>0</v>
      </c>
      <c r="AK152" s="151">
        <f t="shared" ca="1" si="853"/>
        <v>0</v>
      </c>
      <c r="AL152" s="188">
        <f t="shared" ca="1" si="854"/>
        <v>0</v>
      </c>
      <c r="AM152" s="70"/>
      <c r="AN152" s="126">
        <f t="shared" ca="1" si="855"/>
        <v>0</v>
      </c>
      <c r="AO152" s="126"/>
      <c r="AP152" s="97">
        <f t="shared" ca="1" si="856"/>
        <v>0</v>
      </c>
      <c r="AQ152" s="97">
        <f t="shared" ca="1" si="857"/>
        <v>0</v>
      </c>
      <c r="AR152" s="151">
        <f t="shared" ca="1" si="858"/>
        <v>0</v>
      </c>
      <c r="AS152" s="188">
        <f t="shared" ca="1" si="859"/>
        <v>0</v>
      </c>
      <c r="AT152" s="70"/>
      <c r="AU152" s="126">
        <f t="shared" ca="1" si="860"/>
        <v>0</v>
      </c>
      <c r="AV152" s="126"/>
      <c r="AW152" s="97">
        <f t="shared" ca="1" si="861"/>
        <v>0</v>
      </c>
      <c r="AX152" s="126">
        <f t="shared" ca="1" si="862"/>
        <v>0</v>
      </c>
      <c r="AY152" s="151">
        <f t="shared" ca="1" si="863"/>
        <v>0</v>
      </c>
      <c r="AZ152" s="188">
        <f t="shared" ca="1" si="864"/>
        <v>0</v>
      </c>
      <c r="BA152" s="144"/>
      <c r="BB152" s="126">
        <f t="shared" ca="1" si="865"/>
        <v>0</v>
      </c>
      <c r="BC152" s="126"/>
      <c r="BD152" s="97">
        <f t="shared" ca="1" si="866"/>
        <v>0</v>
      </c>
      <c r="BE152" s="97">
        <f t="shared" ca="1" si="867"/>
        <v>0</v>
      </c>
      <c r="BF152" s="151">
        <f t="shared" ca="1" si="868"/>
        <v>0</v>
      </c>
      <c r="BG152" s="188">
        <f t="shared" ca="1" si="869"/>
        <v>0</v>
      </c>
      <c r="BH152" s="144"/>
      <c r="BI152" s="126">
        <f t="shared" ca="1" si="870"/>
        <v>0</v>
      </c>
      <c r="BJ152" s="126"/>
      <c r="BK152" s="97">
        <f t="shared" ca="1" si="871"/>
        <v>0</v>
      </c>
      <c r="BL152" s="97">
        <f t="shared" ca="1" si="872"/>
        <v>0</v>
      </c>
      <c r="BM152" s="151">
        <f t="shared" ca="1" si="873"/>
        <v>0</v>
      </c>
      <c r="BN152" s="188">
        <f t="shared" ca="1" si="874"/>
        <v>0</v>
      </c>
      <c r="BO152" s="144"/>
      <c r="BP152" s="126">
        <f t="shared" ca="1" si="875"/>
        <v>0</v>
      </c>
      <c r="BQ152" s="126"/>
      <c r="BR152" s="97">
        <f t="shared" ca="1" si="876"/>
        <v>0</v>
      </c>
      <c r="BS152" s="97">
        <f t="shared" ca="1" si="877"/>
        <v>0</v>
      </c>
      <c r="BT152" s="151">
        <f t="shared" ca="1" si="878"/>
        <v>0</v>
      </c>
      <c r="BU152" s="188">
        <f t="shared" ca="1" si="879"/>
        <v>0</v>
      </c>
      <c r="BV152" s="144"/>
      <c r="BW152" s="126">
        <f t="shared" ca="1" si="880"/>
        <v>0</v>
      </c>
      <c r="BX152" s="126"/>
      <c r="BY152" s="97">
        <f t="shared" ca="1" si="881"/>
        <v>0</v>
      </c>
      <c r="BZ152" s="97">
        <f t="shared" ca="1" si="882"/>
        <v>0</v>
      </c>
      <c r="CA152" s="151">
        <f t="shared" ca="1" si="883"/>
        <v>0</v>
      </c>
      <c r="CB152" s="188">
        <f t="shared" ca="1" si="884"/>
        <v>0</v>
      </c>
      <c r="CC152" s="144"/>
      <c r="CD152" s="126">
        <f t="shared" ca="1" si="885"/>
        <v>0</v>
      </c>
      <c r="CE152" s="126"/>
      <c r="CF152" s="97">
        <f t="shared" ca="1" si="886"/>
        <v>0</v>
      </c>
      <c r="CG152" s="97">
        <f t="shared" ca="1" si="887"/>
        <v>0</v>
      </c>
      <c r="CH152" s="151">
        <f t="shared" ca="1" si="888"/>
        <v>0</v>
      </c>
      <c r="CI152" s="188">
        <f t="shared" ca="1" si="889"/>
        <v>0</v>
      </c>
      <c r="CJ152" s="5"/>
      <c r="CK152" s="5"/>
      <c r="CL152" s="5"/>
    </row>
    <row r="153" spans="1:90" s="6" customFormat="1">
      <c r="A153" s="133" t="s">
        <v>182</v>
      </c>
      <c r="B153" s="63">
        <v>53151001</v>
      </c>
      <c r="C153" s="134">
        <f t="shared" ca="1" si="831"/>
        <v>0</v>
      </c>
      <c r="D153" s="78"/>
      <c r="E153" s="126">
        <f ca="1">$C153/COUNTA(E$1:$CI$1)</f>
        <v>0</v>
      </c>
      <c r="F153" s="126"/>
      <c r="G153" s="104">
        <f t="shared" ref="G153:G161" ca="1" si="891">IFERROR(I153,0)</f>
        <v>0</v>
      </c>
      <c r="H153" s="98">
        <f t="shared" ref="H153:H161" ca="1" si="892">IFERROR(E153,0)</f>
        <v>0</v>
      </c>
      <c r="I153" s="57">
        <f t="shared" ca="1" si="890"/>
        <v>0</v>
      </c>
      <c r="J153" s="188">
        <f t="shared" ref="J153:J161" ca="1" si="893">IFERROR(G153-E153,0)</f>
        <v>0</v>
      </c>
      <c r="K153" s="70"/>
      <c r="L153" s="126">
        <f t="shared" ca="1" si="835"/>
        <v>0</v>
      </c>
      <c r="M153" s="126"/>
      <c r="N153" s="97">
        <f t="shared" ca="1" si="836"/>
        <v>0</v>
      </c>
      <c r="O153" s="98">
        <f t="shared" ca="1" si="837"/>
        <v>0</v>
      </c>
      <c r="P153" s="151">
        <f t="shared" ca="1" si="838"/>
        <v>0</v>
      </c>
      <c r="Q153" s="188">
        <f t="shared" ca="1" si="839"/>
        <v>0</v>
      </c>
      <c r="R153" s="70"/>
      <c r="S153" s="126">
        <f t="shared" ca="1" si="840"/>
        <v>0</v>
      </c>
      <c r="T153" s="126"/>
      <c r="U153" s="97">
        <f t="shared" ca="1" si="841"/>
        <v>0</v>
      </c>
      <c r="V153" s="97">
        <f t="shared" ca="1" si="842"/>
        <v>0</v>
      </c>
      <c r="W153" s="151">
        <f t="shared" ca="1" si="843"/>
        <v>0</v>
      </c>
      <c r="X153" s="188">
        <f t="shared" ca="1" si="844"/>
        <v>0</v>
      </c>
      <c r="Y153" s="70"/>
      <c r="Z153" s="126">
        <f t="shared" ca="1" si="845"/>
        <v>0</v>
      </c>
      <c r="AA153" s="126"/>
      <c r="AB153" s="97">
        <f t="shared" ca="1" si="846"/>
        <v>0</v>
      </c>
      <c r="AC153" s="97">
        <f t="shared" ca="1" si="847"/>
        <v>0</v>
      </c>
      <c r="AD153" s="151">
        <f t="shared" ca="1" si="848"/>
        <v>0</v>
      </c>
      <c r="AE153" s="188">
        <f t="shared" ca="1" si="849"/>
        <v>0</v>
      </c>
      <c r="AF153" s="70"/>
      <c r="AG153" s="126">
        <f t="shared" ca="1" si="850"/>
        <v>0</v>
      </c>
      <c r="AH153" s="126"/>
      <c r="AI153" s="97">
        <f t="shared" ca="1" si="851"/>
        <v>0</v>
      </c>
      <c r="AJ153" s="97">
        <f t="shared" ca="1" si="852"/>
        <v>0</v>
      </c>
      <c r="AK153" s="151">
        <f t="shared" ca="1" si="853"/>
        <v>0</v>
      </c>
      <c r="AL153" s="188">
        <f t="shared" ca="1" si="854"/>
        <v>0</v>
      </c>
      <c r="AM153" s="70"/>
      <c r="AN153" s="126">
        <f t="shared" ca="1" si="855"/>
        <v>0</v>
      </c>
      <c r="AO153" s="126"/>
      <c r="AP153" s="97">
        <f t="shared" ca="1" si="856"/>
        <v>0</v>
      </c>
      <c r="AQ153" s="97">
        <f t="shared" ca="1" si="857"/>
        <v>0</v>
      </c>
      <c r="AR153" s="151">
        <f t="shared" ca="1" si="858"/>
        <v>0</v>
      </c>
      <c r="AS153" s="188">
        <f t="shared" ca="1" si="859"/>
        <v>0</v>
      </c>
      <c r="AT153" s="70"/>
      <c r="AU153" s="126">
        <f t="shared" ca="1" si="860"/>
        <v>0</v>
      </c>
      <c r="AV153" s="126"/>
      <c r="AW153" s="97">
        <f t="shared" ca="1" si="861"/>
        <v>0</v>
      </c>
      <c r="AX153" s="126">
        <f t="shared" ca="1" si="862"/>
        <v>0</v>
      </c>
      <c r="AY153" s="151">
        <f t="shared" ca="1" si="863"/>
        <v>0</v>
      </c>
      <c r="AZ153" s="188">
        <f t="shared" ca="1" si="864"/>
        <v>0</v>
      </c>
      <c r="BA153" s="144"/>
      <c r="BB153" s="126">
        <f t="shared" ca="1" si="865"/>
        <v>0</v>
      </c>
      <c r="BC153" s="126"/>
      <c r="BD153" s="97">
        <f t="shared" ca="1" si="866"/>
        <v>0</v>
      </c>
      <c r="BE153" s="97">
        <f t="shared" ca="1" si="867"/>
        <v>0</v>
      </c>
      <c r="BF153" s="151">
        <f t="shared" ca="1" si="868"/>
        <v>0</v>
      </c>
      <c r="BG153" s="188">
        <f t="shared" ca="1" si="869"/>
        <v>0</v>
      </c>
      <c r="BH153" s="144"/>
      <c r="BI153" s="126">
        <f t="shared" ca="1" si="870"/>
        <v>0</v>
      </c>
      <c r="BJ153" s="126"/>
      <c r="BK153" s="97">
        <f t="shared" ca="1" si="871"/>
        <v>0</v>
      </c>
      <c r="BL153" s="97">
        <f t="shared" ca="1" si="872"/>
        <v>0</v>
      </c>
      <c r="BM153" s="151">
        <f t="shared" ca="1" si="873"/>
        <v>0</v>
      </c>
      <c r="BN153" s="188">
        <f t="shared" ca="1" si="874"/>
        <v>0</v>
      </c>
      <c r="BO153" s="144"/>
      <c r="BP153" s="126">
        <f t="shared" ca="1" si="875"/>
        <v>0</v>
      </c>
      <c r="BQ153" s="126"/>
      <c r="BR153" s="97">
        <f t="shared" ca="1" si="876"/>
        <v>0</v>
      </c>
      <c r="BS153" s="97">
        <f t="shared" ca="1" si="877"/>
        <v>0</v>
      </c>
      <c r="BT153" s="151">
        <f t="shared" ca="1" si="878"/>
        <v>0</v>
      </c>
      <c r="BU153" s="188">
        <f t="shared" ca="1" si="879"/>
        <v>0</v>
      </c>
      <c r="BV153" s="144"/>
      <c r="BW153" s="126">
        <f t="shared" ca="1" si="880"/>
        <v>0</v>
      </c>
      <c r="BX153" s="126"/>
      <c r="BY153" s="97">
        <f t="shared" ca="1" si="881"/>
        <v>0</v>
      </c>
      <c r="BZ153" s="97">
        <f t="shared" ca="1" si="882"/>
        <v>0</v>
      </c>
      <c r="CA153" s="151">
        <f t="shared" ca="1" si="883"/>
        <v>0</v>
      </c>
      <c r="CB153" s="188">
        <f t="shared" ca="1" si="884"/>
        <v>0</v>
      </c>
      <c r="CC153" s="144"/>
      <c r="CD153" s="126">
        <f t="shared" ca="1" si="885"/>
        <v>0</v>
      </c>
      <c r="CE153" s="126"/>
      <c r="CF153" s="97">
        <f t="shared" ca="1" si="886"/>
        <v>0</v>
      </c>
      <c r="CG153" s="97">
        <f t="shared" ca="1" si="887"/>
        <v>0</v>
      </c>
      <c r="CH153" s="151">
        <f t="shared" ca="1" si="888"/>
        <v>0</v>
      </c>
      <c r="CI153" s="188">
        <f t="shared" ca="1" si="889"/>
        <v>0</v>
      </c>
      <c r="CJ153" s="5"/>
      <c r="CK153" s="5"/>
      <c r="CL153" s="5"/>
    </row>
    <row r="154" spans="1:90" s="6" customFormat="1">
      <c r="A154" s="133" t="s">
        <v>183</v>
      </c>
      <c r="B154" s="63">
        <v>53151501</v>
      </c>
      <c r="C154" s="134">
        <f t="shared" ca="1" si="831"/>
        <v>779517.16</v>
      </c>
      <c r="D154" s="78"/>
      <c r="E154" s="126">
        <f ca="1">$C154/COUNTA(E$1:$CI$1)</f>
        <v>64959.763333333336</v>
      </c>
      <c r="F154" s="126"/>
      <c r="G154" s="104">
        <f t="shared" ca="1" si="891"/>
        <v>270777.77</v>
      </c>
      <c r="H154" s="98">
        <f t="shared" ca="1" si="892"/>
        <v>64959.763333333336</v>
      </c>
      <c r="I154" s="57">
        <f t="shared" ca="1" si="890"/>
        <v>270777.77</v>
      </c>
      <c r="J154" s="188">
        <f t="shared" ca="1" si="893"/>
        <v>205818.00666666668</v>
      </c>
      <c r="K154" s="70"/>
      <c r="L154" s="126">
        <f t="shared" ca="1" si="835"/>
        <v>64959.763333333336</v>
      </c>
      <c r="M154" s="126"/>
      <c r="N154" s="97">
        <f t="shared" ca="1" si="836"/>
        <v>0</v>
      </c>
      <c r="O154" s="98">
        <f t="shared" ca="1" si="837"/>
        <v>129919.52666666667</v>
      </c>
      <c r="P154" s="151">
        <f t="shared" ca="1" si="838"/>
        <v>270777.77</v>
      </c>
      <c r="Q154" s="188">
        <f t="shared" ca="1" si="839"/>
        <v>64959.763333333336</v>
      </c>
      <c r="R154" s="70"/>
      <c r="S154" s="126">
        <f t="shared" ca="1" si="840"/>
        <v>64959.763333333336</v>
      </c>
      <c r="T154" s="126"/>
      <c r="U154" s="97">
        <f t="shared" ca="1" si="841"/>
        <v>0</v>
      </c>
      <c r="V154" s="97">
        <f t="shared" ca="1" si="842"/>
        <v>194879.29</v>
      </c>
      <c r="W154" s="151">
        <f t="shared" ca="1" si="843"/>
        <v>270777.77</v>
      </c>
      <c r="X154" s="188">
        <f t="shared" ca="1" si="844"/>
        <v>64959.763333333336</v>
      </c>
      <c r="Y154" s="70"/>
      <c r="Z154" s="126">
        <f t="shared" ca="1" si="845"/>
        <v>64959.763333333336</v>
      </c>
      <c r="AA154" s="126"/>
      <c r="AB154" s="97">
        <f t="shared" ca="1" si="846"/>
        <v>110700</v>
      </c>
      <c r="AC154" s="97">
        <f t="shared" ca="1" si="847"/>
        <v>259839.05333333334</v>
      </c>
      <c r="AD154" s="151">
        <f t="shared" ca="1" si="848"/>
        <v>381477.77</v>
      </c>
      <c r="AE154" s="188">
        <f t="shared" ca="1" si="849"/>
        <v>-45740.236666666664</v>
      </c>
      <c r="AF154" s="70"/>
      <c r="AG154" s="126">
        <f t="shared" ca="1" si="850"/>
        <v>64959.763333333336</v>
      </c>
      <c r="AH154" s="126"/>
      <c r="AI154" s="97">
        <f t="shared" ca="1" si="851"/>
        <v>8280.8099999999977</v>
      </c>
      <c r="AJ154" s="97">
        <f t="shared" ca="1" si="852"/>
        <v>324798.81666666665</v>
      </c>
      <c r="AK154" s="151">
        <f t="shared" ca="1" si="853"/>
        <v>389758.58</v>
      </c>
      <c r="AL154" s="188">
        <f t="shared" ca="1" si="854"/>
        <v>56678.953333333338</v>
      </c>
      <c r="AM154" s="70"/>
      <c r="AN154" s="126">
        <f t="shared" ca="1" si="855"/>
        <v>64959.763333333336</v>
      </c>
      <c r="AO154" s="126"/>
      <c r="AP154" s="97">
        <f t="shared" ca="1" si="856"/>
        <v>0</v>
      </c>
      <c r="AQ154" s="97">
        <f t="shared" ca="1" si="857"/>
        <v>389758.57999999996</v>
      </c>
      <c r="AR154" s="151">
        <f t="shared" ca="1" si="858"/>
        <v>389758.58</v>
      </c>
      <c r="AS154" s="188">
        <f t="shared" ca="1" si="859"/>
        <v>64959.763333333336</v>
      </c>
      <c r="AT154" s="70"/>
      <c r="AU154" s="126">
        <f t="shared" ca="1" si="860"/>
        <v>64959.763333333336</v>
      </c>
      <c r="AV154" s="126"/>
      <c r="AW154" s="97">
        <f t="shared" ca="1" si="861"/>
        <v>0</v>
      </c>
      <c r="AX154" s="126">
        <f t="shared" ca="1" si="862"/>
        <v>454718.34333333327</v>
      </c>
      <c r="AY154" s="151">
        <f t="shared" ca="1" si="863"/>
        <v>389758.58</v>
      </c>
      <c r="AZ154" s="188">
        <f t="shared" ca="1" si="864"/>
        <v>64959.763333333336</v>
      </c>
      <c r="BA154" s="144"/>
      <c r="BB154" s="126">
        <f t="shared" ca="1" si="865"/>
        <v>64959.763333333336</v>
      </c>
      <c r="BC154" s="126"/>
      <c r="BD154" s="97">
        <f t="shared" ca="1" si="866"/>
        <v>385768.45</v>
      </c>
      <c r="BE154" s="97">
        <f t="shared" ca="1" si="867"/>
        <v>519678.10666666657</v>
      </c>
      <c r="BF154" s="151">
        <f t="shared" ca="1" si="868"/>
        <v>775527.03</v>
      </c>
      <c r="BG154" s="188">
        <f t="shared" ca="1" si="869"/>
        <v>-320808.68666666665</v>
      </c>
      <c r="BH154" s="144"/>
      <c r="BI154" s="126">
        <f t="shared" ca="1" si="870"/>
        <v>64959.763333333336</v>
      </c>
      <c r="BJ154" s="126"/>
      <c r="BK154" s="97">
        <f t="shared" ca="1" si="871"/>
        <v>0</v>
      </c>
      <c r="BL154" s="97">
        <f t="shared" ca="1" si="872"/>
        <v>584637.86999999988</v>
      </c>
      <c r="BM154" s="151">
        <f t="shared" ca="1" si="873"/>
        <v>0</v>
      </c>
      <c r="BN154" s="188">
        <f t="shared" ca="1" si="874"/>
        <v>64959.763333333336</v>
      </c>
      <c r="BO154" s="144"/>
      <c r="BP154" s="126">
        <f t="shared" ca="1" si="875"/>
        <v>64959.763333333336</v>
      </c>
      <c r="BQ154" s="126"/>
      <c r="BR154" s="97">
        <f t="shared" ca="1" si="876"/>
        <v>0</v>
      </c>
      <c r="BS154" s="97">
        <f t="shared" ca="1" si="877"/>
        <v>649597.63333333319</v>
      </c>
      <c r="BT154" s="151">
        <f t="shared" ca="1" si="878"/>
        <v>0</v>
      </c>
      <c r="BU154" s="188">
        <f t="shared" ca="1" si="879"/>
        <v>64959.763333333336</v>
      </c>
      <c r="BV154" s="144"/>
      <c r="BW154" s="126">
        <f t="shared" ca="1" si="880"/>
        <v>64959.763333333336</v>
      </c>
      <c r="BX154" s="126"/>
      <c r="BY154" s="97">
        <f t="shared" ca="1" si="881"/>
        <v>0</v>
      </c>
      <c r="BZ154" s="97">
        <f t="shared" ca="1" si="882"/>
        <v>714557.39666666649</v>
      </c>
      <c r="CA154" s="151">
        <f t="shared" ca="1" si="883"/>
        <v>0</v>
      </c>
      <c r="CB154" s="188">
        <f t="shared" ca="1" si="884"/>
        <v>64959.763333333336</v>
      </c>
      <c r="CC154" s="144"/>
      <c r="CD154" s="126">
        <f t="shared" ca="1" si="885"/>
        <v>64959.763333333336</v>
      </c>
      <c r="CE154" s="126"/>
      <c r="CF154" s="97">
        <f t="shared" ca="1" si="886"/>
        <v>0</v>
      </c>
      <c r="CG154" s="97">
        <f t="shared" ca="1" si="887"/>
        <v>779517.1599999998</v>
      </c>
      <c r="CH154" s="151">
        <f t="shared" ca="1" si="888"/>
        <v>0</v>
      </c>
      <c r="CI154" s="188">
        <f t="shared" ca="1" si="889"/>
        <v>64959.763333333336</v>
      </c>
      <c r="CJ154" s="5"/>
      <c r="CK154" s="5"/>
      <c r="CL154" s="5"/>
    </row>
    <row r="155" spans="1:90" s="6" customFormat="1">
      <c r="A155" s="133" t="s">
        <v>107</v>
      </c>
      <c r="B155" s="63">
        <v>53152001</v>
      </c>
      <c r="C155" s="134">
        <f t="shared" ca="1" si="831"/>
        <v>62137.180000000197</v>
      </c>
      <c r="D155" s="78"/>
      <c r="E155" s="126">
        <f ca="1">$C155/COUNTA(E$1:$CI$1)</f>
        <v>5178.0983333333497</v>
      </c>
      <c r="F155" s="126"/>
      <c r="G155" s="104">
        <f t="shared" ca="1" si="891"/>
        <v>31068.59</v>
      </c>
      <c r="H155" s="98">
        <f t="shared" ca="1" si="892"/>
        <v>5178.0983333333497</v>
      </c>
      <c r="I155" s="57">
        <f t="shared" ca="1" si="890"/>
        <v>31068.59</v>
      </c>
      <c r="J155" s="188">
        <f t="shared" ca="1" si="893"/>
        <v>25890.49166666665</v>
      </c>
      <c r="K155" s="70"/>
      <c r="L155" s="126">
        <f t="shared" ca="1" si="835"/>
        <v>5178.0983333333497</v>
      </c>
      <c r="M155" s="126"/>
      <c r="N155" s="97">
        <f t="shared" ca="1" si="836"/>
        <v>9.822542779147625E-11</v>
      </c>
      <c r="O155" s="98">
        <f t="shared" ca="1" si="837"/>
        <v>10356.196666666699</v>
      </c>
      <c r="P155" s="151">
        <f t="shared" ca="1" si="838"/>
        <v>31068.590000000098</v>
      </c>
      <c r="Q155" s="188">
        <f t="shared" ca="1" si="839"/>
        <v>5178.0983333332515</v>
      </c>
      <c r="R155" s="70"/>
      <c r="S155" s="126">
        <f t="shared" ca="1" si="840"/>
        <v>5178.0983333333497</v>
      </c>
      <c r="T155" s="126"/>
      <c r="U155" s="97">
        <f t="shared" ca="1" si="841"/>
        <v>0</v>
      </c>
      <c r="V155" s="97">
        <f t="shared" ca="1" si="842"/>
        <v>15534.295000000049</v>
      </c>
      <c r="W155" s="151">
        <f t="shared" ca="1" si="843"/>
        <v>31068.590000000098</v>
      </c>
      <c r="X155" s="188">
        <f t="shared" ca="1" si="844"/>
        <v>5178.0983333333497</v>
      </c>
      <c r="Y155" s="70"/>
      <c r="Z155" s="126">
        <f t="shared" ca="1" si="845"/>
        <v>5178.0983333333497</v>
      </c>
      <c r="AA155" s="126"/>
      <c r="AB155" s="97">
        <f t="shared" ca="1" si="846"/>
        <v>0</v>
      </c>
      <c r="AC155" s="97">
        <f t="shared" ca="1" si="847"/>
        <v>20712.393333333399</v>
      </c>
      <c r="AD155" s="151">
        <f t="shared" ca="1" si="848"/>
        <v>31068.590000000098</v>
      </c>
      <c r="AE155" s="188">
        <f t="shared" ca="1" si="849"/>
        <v>5178.0983333333497</v>
      </c>
      <c r="AF155" s="70"/>
      <c r="AG155" s="126">
        <f t="shared" ca="1" si="850"/>
        <v>5178.0983333333497</v>
      </c>
      <c r="AH155" s="126"/>
      <c r="AI155" s="97">
        <f t="shared" ca="1" si="851"/>
        <v>0</v>
      </c>
      <c r="AJ155" s="97">
        <f t="shared" ca="1" si="852"/>
        <v>25890.491666666749</v>
      </c>
      <c r="AK155" s="151">
        <f t="shared" ca="1" si="853"/>
        <v>31068.590000000098</v>
      </c>
      <c r="AL155" s="188">
        <f t="shared" ca="1" si="854"/>
        <v>5178.0983333333497</v>
      </c>
      <c r="AM155" s="70"/>
      <c r="AN155" s="126">
        <f t="shared" ca="1" si="855"/>
        <v>5178.0983333333497</v>
      </c>
      <c r="AO155" s="126"/>
      <c r="AP155" s="97">
        <f t="shared" ca="1" si="856"/>
        <v>0</v>
      </c>
      <c r="AQ155" s="97">
        <f t="shared" ca="1" si="857"/>
        <v>31068.590000000098</v>
      </c>
      <c r="AR155" s="151">
        <f t="shared" ca="1" si="858"/>
        <v>31068.590000000098</v>
      </c>
      <c r="AS155" s="188">
        <f t="shared" ca="1" si="859"/>
        <v>5178.0983333333497</v>
      </c>
      <c r="AT155" s="70"/>
      <c r="AU155" s="126">
        <f t="shared" ca="1" si="860"/>
        <v>5178.0983333333497</v>
      </c>
      <c r="AV155" s="126"/>
      <c r="AW155" s="97">
        <f t="shared" ca="1" si="861"/>
        <v>10000</v>
      </c>
      <c r="AX155" s="126">
        <f t="shared" ca="1" si="862"/>
        <v>36246.688333333448</v>
      </c>
      <c r="AY155" s="151">
        <f t="shared" ca="1" si="863"/>
        <v>41068.590000000098</v>
      </c>
      <c r="AZ155" s="188">
        <f t="shared" ca="1" si="864"/>
        <v>-4821.9016666666503</v>
      </c>
      <c r="BA155" s="144"/>
      <c r="BB155" s="126">
        <f t="shared" ca="1" si="865"/>
        <v>5178.0983333333497</v>
      </c>
      <c r="BC155" s="126"/>
      <c r="BD155" s="97">
        <f t="shared" ca="1" si="866"/>
        <v>0</v>
      </c>
      <c r="BE155" s="97">
        <f t="shared" ca="1" si="867"/>
        <v>41424.786666666798</v>
      </c>
      <c r="BF155" s="151">
        <f t="shared" ca="1" si="868"/>
        <v>41068.590000000098</v>
      </c>
      <c r="BG155" s="188">
        <f t="shared" ca="1" si="869"/>
        <v>5178.0983333333497</v>
      </c>
      <c r="BH155" s="144"/>
      <c r="BI155" s="126">
        <f t="shared" ca="1" si="870"/>
        <v>5178.0983333333497</v>
      </c>
      <c r="BJ155" s="126"/>
      <c r="BK155" s="97">
        <f t="shared" ca="1" si="871"/>
        <v>0</v>
      </c>
      <c r="BL155" s="97">
        <f t="shared" ca="1" si="872"/>
        <v>46602.885000000148</v>
      </c>
      <c r="BM155" s="151">
        <f t="shared" ca="1" si="873"/>
        <v>0</v>
      </c>
      <c r="BN155" s="188">
        <f t="shared" ca="1" si="874"/>
        <v>5178.0983333333497</v>
      </c>
      <c r="BO155" s="144"/>
      <c r="BP155" s="126">
        <f t="shared" ca="1" si="875"/>
        <v>5178.0983333333497</v>
      </c>
      <c r="BQ155" s="126"/>
      <c r="BR155" s="97">
        <f t="shared" ca="1" si="876"/>
        <v>0</v>
      </c>
      <c r="BS155" s="97">
        <f t="shared" ca="1" si="877"/>
        <v>51780.983333333497</v>
      </c>
      <c r="BT155" s="151">
        <f t="shared" ca="1" si="878"/>
        <v>0</v>
      </c>
      <c r="BU155" s="188">
        <f t="shared" ca="1" si="879"/>
        <v>5178.0983333333497</v>
      </c>
      <c r="BV155" s="144"/>
      <c r="BW155" s="126">
        <f t="shared" ca="1" si="880"/>
        <v>5178.0983333333497</v>
      </c>
      <c r="BX155" s="126"/>
      <c r="BY155" s="97">
        <f t="shared" ca="1" si="881"/>
        <v>0</v>
      </c>
      <c r="BZ155" s="97">
        <f t="shared" ca="1" si="882"/>
        <v>56959.081666666847</v>
      </c>
      <c r="CA155" s="151">
        <f t="shared" ca="1" si="883"/>
        <v>0</v>
      </c>
      <c r="CB155" s="188">
        <f t="shared" ca="1" si="884"/>
        <v>5178.0983333333497</v>
      </c>
      <c r="CC155" s="144"/>
      <c r="CD155" s="126">
        <f t="shared" ca="1" si="885"/>
        <v>5178.0983333333497</v>
      </c>
      <c r="CE155" s="126"/>
      <c r="CF155" s="97">
        <f t="shared" ca="1" si="886"/>
        <v>0</v>
      </c>
      <c r="CG155" s="97">
        <f t="shared" ca="1" si="887"/>
        <v>62137.180000000197</v>
      </c>
      <c r="CH155" s="151">
        <f t="shared" ca="1" si="888"/>
        <v>0</v>
      </c>
      <c r="CI155" s="188">
        <f t="shared" ca="1" si="889"/>
        <v>5178.0983333333497</v>
      </c>
      <c r="CJ155" s="5"/>
      <c r="CK155" s="5"/>
      <c r="CL155" s="5"/>
    </row>
    <row r="156" spans="1:90" s="6" customFormat="1">
      <c r="A156" s="133" t="s">
        <v>573</v>
      </c>
      <c r="B156" s="63">
        <v>53152005</v>
      </c>
      <c r="C156" s="134">
        <f t="shared" ca="1" si="831"/>
        <v>129340</v>
      </c>
      <c r="D156" s="78"/>
      <c r="E156" s="126">
        <f ca="1">$C156/COUNTA(E$1:$CI$1)</f>
        <v>10778.333333333334</v>
      </c>
      <c r="F156" s="126"/>
      <c r="G156" s="104">
        <f t="shared" ref="G156" ca="1" si="894">IFERROR(I156,0)</f>
        <v>0</v>
      </c>
      <c r="H156" s="98">
        <f t="shared" ref="H156" ca="1" si="895">IFERROR(E156,0)</f>
        <v>10778.333333333334</v>
      </c>
      <c r="I156" s="57">
        <f t="shared" ref="I156" ca="1" si="896">IFERROR(IFERROR(VLOOKUP(TEXT($B156,0),INDIRECT("'Balance a "&amp;LEFT(E$1,3)&amp;"'!$B$3:$G$300"),4,0),VLOOKUP(VALUE($B156),INDIRECT("'Balance a "&amp;LEFT(E$1,3)&amp;"'!$B$3:$G$300"),4,0)),0)</f>
        <v>0</v>
      </c>
      <c r="J156" s="188">
        <f t="shared" ref="J156" ca="1" si="897">IFERROR(G156-E156,0)</f>
        <v>-10778.333333333334</v>
      </c>
      <c r="K156" s="70"/>
      <c r="L156" s="126">
        <f t="shared" ref="L156" ca="1" si="898">E156+F156</f>
        <v>10778.333333333334</v>
      </c>
      <c r="M156" s="126"/>
      <c r="N156" s="97">
        <f t="shared" ref="N156" ca="1" si="899">IFERROR(P156-I156,0)</f>
        <v>0</v>
      </c>
      <c r="O156" s="98">
        <f t="shared" ref="O156" ca="1" si="900">SUM(E156:F156,L156:M156)</f>
        <v>21556.666666666668</v>
      </c>
      <c r="P156" s="151">
        <f t="shared" ref="P156" ca="1" si="901">IFERROR(IFERROR(VLOOKUP(TEXT($B156,0),INDIRECT("'Balance a "&amp;LEFT(L$1,3)&amp;"'!$B$3:$G$300"),6,0),VLOOKUP(VALUE($B156),INDIRECT("'Balance a "&amp;LEFT(L$1,3)&amp;"'!$B$3:$G$300"),6,0)),0)</f>
        <v>0</v>
      </c>
      <c r="Q156" s="188">
        <f t="shared" ref="Q156" ca="1" si="902">IFERROR(SUM(L156:M156)-N156,0)</f>
        <v>10778.333333333334</v>
      </c>
      <c r="R156" s="70"/>
      <c r="S156" s="126">
        <f t="shared" ref="S156" ca="1" si="903">L156+M156</f>
        <v>10778.333333333334</v>
      </c>
      <c r="T156" s="126"/>
      <c r="U156" s="97">
        <f t="shared" ref="U156" ca="1" si="904">IFERROR(W156-P156,0)</f>
        <v>0</v>
      </c>
      <c r="V156" s="97">
        <f t="shared" ref="V156" ca="1" si="905">SUM(E156:F156,L156:M156,S156:T156)</f>
        <v>32335</v>
      </c>
      <c r="W156" s="151">
        <f t="shared" ref="W156" ca="1" si="906">IFERROR(IFERROR(VLOOKUP(TEXT($B156,0),INDIRECT("'Balance a "&amp;LEFT(S$1,3)&amp;"'!$B$3:$G$300"),6,0),VLOOKUP(VALUE($B156),INDIRECT("'Balance a "&amp;LEFT(S$1,3)&amp;"'!$B$3:$G$300"),6,0)),0)</f>
        <v>0</v>
      </c>
      <c r="X156" s="188">
        <f t="shared" ref="X156" ca="1" si="907">IFERROR(SUM(S156:T156)-U156,0)</f>
        <v>10778.333333333334</v>
      </c>
      <c r="Y156" s="70"/>
      <c r="Z156" s="126">
        <f t="shared" ref="Z156" ca="1" si="908">S156+T156</f>
        <v>10778.333333333334</v>
      </c>
      <c r="AA156" s="126"/>
      <c r="AB156" s="97">
        <f t="shared" ref="AB156" ca="1" si="909">IFERROR(AD156-W156,0)</f>
        <v>0</v>
      </c>
      <c r="AC156" s="97">
        <f t="shared" ref="AC156" ca="1" si="910">SUM(E156:F156,L156:M156,S156:T156,Z156:AA156)</f>
        <v>43113.333333333336</v>
      </c>
      <c r="AD156" s="151">
        <f t="shared" ref="AD156" ca="1" si="911">IFERROR(IFERROR(VLOOKUP(TEXT($B156,0),INDIRECT("'Balance a "&amp;LEFT(Z$1,3)&amp;"'!$B$3:$G$300"),6,0),VLOOKUP(VALUE($B156),INDIRECT("'Balance a "&amp;LEFT(Z$1,3)&amp;"'!$B$3:$G$300"),6,0)),0)</f>
        <v>0</v>
      </c>
      <c r="AE156" s="188">
        <f t="shared" ref="AE156" ca="1" si="912">IFERROR(SUM(Z156:AA156)-AB156,0)</f>
        <v>10778.333333333334</v>
      </c>
      <c r="AF156" s="70"/>
      <c r="AG156" s="126">
        <f t="shared" ref="AG156" ca="1" si="913">Z156+AA156</f>
        <v>10778.333333333334</v>
      </c>
      <c r="AH156" s="126"/>
      <c r="AI156" s="97">
        <f t="shared" ref="AI156" ca="1" si="914">IFERROR(AK156-AD156,0)</f>
        <v>64670</v>
      </c>
      <c r="AJ156" s="97">
        <f t="shared" ref="AJ156" ca="1" si="915">SUM(E156:F156,L156:M156,S156:T156,Z156:AA156,AG156:AH156)</f>
        <v>53891.666666666672</v>
      </c>
      <c r="AK156" s="151">
        <f t="shared" ref="AK156" ca="1" si="916">IFERROR(IFERROR(VLOOKUP(TEXT($B156,0),INDIRECT("'Balance a "&amp;LEFT(AG$1,3)&amp;"'!$B$3:$G$300"),6,0),VLOOKUP(VALUE($B156),INDIRECT("'Balance a "&amp;LEFT(AG$1,3)&amp;"'!$B$3:$G$300"),6,0)),0)</f>
        <v>64670</v>
      </c>
      <c r="AL156" s="188">
        <f t="shared" ref="AL156" ca="1" si="917">IFERROR(SUM(AG156:AH156)-AI156,0)</f>
        <v>-53891.666666666664</v>
      </c>
      <c r="AM156" s="70"/>
      <c r="AN156" s="126">
        <f t="shared" ref="AN156" ca="1" si="918">AG156+AH156</f>
        <v>10778.333333333334</v>
      </c>
      <c r="AO156" s="126"/>
      <c r="AP156" s="97">
        <f t="shared" ref="AP156" ca="1" si="919">IFERROR(AR156-AK156,0)</f>
        <v>0</v>
      </c>
      <c r="AQ156" s="97">
        <f t="shared" ref="AQ156" ca="1" si="920">SUM(E156:F156,L156:M156,S156:T156,Z156:AA156,AG156:AH156,AN156:AO156)</f>
        <v>64670.000000000007</v>
      </c>
      <c r="AR156" s="151">
        <f t="shared" ref="AR156" ca="1" si="921">IFERROR(IFERROR(VLOOKUP(TEXT($B156,0),INDIRECT("'Balance a "&amp;LEFT(AN$1,3)&amp;"'!$B$3:$G$300"),6,0),VLOOKUP(VALUE($B156),INDIRECT("'Balance a "&amp;LEFT(AN$1,3)&amp;"'!$B$3:$G$300"),6,0)),0)</f>
        <v>64670</v>
      </c>
      <c r="AS156" s="188">
        <f t="shared" ref="AS156" ca="1" si="922">IFERROR(SUM(AN156:AO156)-AP156,0)</f>
        <v>10778.333333333334</v>
      </c>
      <c r="AT156" s="70"/>
      <c r="AU156" s="126">
        <f t="shared" ref="AU156" ca="1" si="923">AN156+AO156</f>
        <v>10778.333333333334</v>
      </c>
      <c r="AV156" s="126"/>
      <c r="AW156" s="97">
        <f t="shared" ref="AW156" ca="1" si="924">IFERROR(AY156-AR156,0)</f>
        <v>358744.15</v>
      </c>
      <c r="AX156" s="126">
        <f t="shared" ref="AX156" ca="1" si="925">SUM(E156:F156,L156:M156,S156:T156,Z156:AA156,AG156:AH156,AN156:AO156,AU156:AV156)</f>
        <v>75448.333333333343</v>
      </c>
      <c r="AY156" s="151">
        <f t="shared" ref="AY156" ca="1" si="926">IFERROR(IFERROR(VLOOKUP(TEXT($B156,0),INDIRECT("'Balance a "&amp;LEFT(AU$1,3)&amp;"'!$B$3:$G$300"),6,0),VLOOKUP(VALUE($B156),INDIRECT("'Balance a "&amp;LEFT(AU$1,3)&amp;"'!$B$3:$G$300"),6,0)),0)</f>
        <v>423414.15</v>
      </c>
      <c r="AZ156" s="188">
        <f t="shared" ref="AZ156" ca="1" si="927">IFERROR(SUM(AU156:AV156)-AW156,0)</f>
        <v>-347965.81666666671</v>
      </c>
      <c r="BA156" s="144"/>
      <c r="BB156" s="126">
        <f t="shared" ref="BB156" ca="1" si="928">AU156+AV156</f>
        <v>10778.333333333334</v>
      </c>
      <c r="BC156" s="126"/>
      <c r="BD156" s="97">
        <f t="shared" ref="BD156" ca="1" si="929">IFERROR(BF156-AY156,0)</f>
        <v>23996</v>
      </c>
      <c r="BE156" s="97">
        <f t="shared" ref="BE156" ca="1" si="930">SUM(E156:F156,L156:M156,S156:T156,Z156:AA156,AG156:AH156,AN156:AO156,AU156:AV156,BB156:BC156)</f>
        <v>86226.666666666672</v>
      </c>
      <c r="BF156" s="151">
        <f t="shared" ref="BF156" ca="1" si="931">IFERROR(IFERROR(VLOOKUP(TEXT($B156,0),INDIRECT("'Balance a "&amp;LEFT(BB$1,3)&amp;"'!$B$3:$G$300"),6,0),VLOOKUP(VALUE($B156),INDIRECT("'Balance a "&amp;LEFT(BB$1,3)&amp;"'!$B$3:$G$300"),6,0)),0)</f>
        <v>447410.15</v>
      </c>
      <c r="BG156" s="188">
        <f t="shared" ref="BG156" ca="1" si="932">IFERROR(SUM(BB156:BC156)-BD156,0)</f>
        <v>-13217.666666666666</v>
      </c>
      <c r="BH156" s="144"/>
      <c r="BI156" s="126">
        <f t="shared" ref="BI156" ca="1" si="933">BB156+BC156</f>
        <v>10778.333333333334</v>
      </c>
      <c r="BJ156" s="126"/>
      <c r="BK156" s="97">
        <f t="shared" ca="1" si="871"/>
        <v>0</v>
      </c>
      <c r="BL156" s="97">
        <f t="shared" ref="BL156" ca="1" si="934">SUM(E156:F156,L156:M156,S156:T156,Z156:AA156,AG156:AH156,AN156:AO156,AU156:AV156,BB156:BC156,BI156:BJ156)</f>
        <v>97005</v>
      </c>
      <c r="BM156" s="151">
        <f t="shared" ref="BM156" ca="1" si="935">IFERROR(IFERROR(VLOOKUP(TEXT($B156,0),INDIRECT("'Balance a "&amp;LEFT(BI$1,3)&amp;"'!$B$3:$G$300"),6,0),VLOOKUP(VALUE($B156),INDIRECT("'Balance a "&amp;LEFT(BI$1,3)&amp;"'!$B$3:$G$300"),6,0)),0)</f>
        <v>0</v>
      </c>
      <c r="BN156" s="188">
        <f t="shared" ref="BN156" ca="1" si="936">IFERROR(SUM(BI156:BJ156)-BK156,0)</f>
        <v>10778.333333333334</v>
      </c>
      <c r="BO156" s="144"/>
      <c r="BP156" s="126">
        <f t="shared" ref="BP156" ca="1" si="937">BI156+BJ156</f>
        <v>10778.333333333334</v>
      </c>
      <c r="BQ156" s="126"/>
      <c r="BR156" s="97">
        <f t="shared" ref="BR156" ca="1" si="938">IFERROR(BT156-BM156,0)</f>
        <v>0</v>
      </c>
      <c r="BS156" s="97">
        <f t="shared" ref="BS156" ca="1" si="939">SUM(E156:F156,L156:M156,S156:T156,Z156:AA156,AG156:AH156,AN156:AO156,AU156:AV156,BB156:BC156,BI156:BJ156,BP156:BQ156)</f>
        <v>107783.33333333333</v>
      </c>
      <c r="BT156" s="151">
        <f t="shared" ref="BT156" ca="1" si="940">IFERROR(IFERROR(VLOOKUP(TEXT($B156,0),INDIRECT("'Balance a "&amp;LEFT(BP$1,3)&amp;"'!$B$3:$G$300"),6,0),VLOOKUP(VALUE($B156),INDIRECT("'Balance a "&amp;LEFT(BP$1,3)&amp;"'!$B$3:$G$300"),6,0)),0)</f>
        <v>0</v>
      </c>
      <c r="BU156" s="188">
        <f t="shared" ref="BU156" ca="1" si="941">IFERROR(SUM(BP156:BQ156)-BR156,0)</f>
        <v>10778.333333333334</v>
      </c>
      <c r="BV156" s="144"/>
      <c r="BW156" s="126">
        <f t="shared" ref="BW156" ca="1" si="942">BP156+BQ156</f>
        <v>10778.333333333334</v>
      </c>
      <c r="BX156" s="126"/>
      <c r="BY156" s="97">
        <f t="shared" ref="BY156" ca="1" si="943">IFERROR(CA156-BT156,0)</f>
        <v>0</v>
      </c>
      <c r="BZ156" s="97">
        <f t="shared" ref="BZ156" ca="1" si="944">SUM(E156:F156,L156:M156,S156:T156,Z156:AA156,AG156:AH156,AN156:AO156,AU156:AV156,BB156:BC156,BI156:BJ156,BP156:BQ156,BW156:BX156)</f>
        <v>118561.66666666666</v>
      </c>
      <c r="CA156" s="151">
        <f t="shared" ref="CA156" ca="1" si="945">IFERROR(IFERROR(VLOOKUP(TEXT($B156,0),INDIRECT("'Balance a "&amp;LEFT(BW$1,3)&amp;"'!$B$3:$G$300"),6,0),VLOOKUP(VALUE($B156),INDIRECT("'Balance a "&amp;LEFT(BW$1,3)&amp;"'!$B$3:$G$300"),6,0)),0)</f>
        <v>0</v>
      </c>
      <c r="CB156" s="188">
        <f t="shared" ref="CB156" ca="1" si="946">IFERROR(SUM(BW156:BX156)-BY156,0)</f>
        <v>10778.333333333334</v>
      </c>
      <c r="CC156" s="144"/>
      <c r="CD156" s="126">
        <f t="shared" ref="CD156" ca="1" si="947">BW156+BX156</f>
        <v>10778.333333333334</v>
      </c>
      <c r="CE156" s="126"/>
      <c r="CF156" s="97">
        <f t="shared" ref="CF156" ca="1" si="948">IFERROR(CH156-CA156,0)</f>
        <v>0</v>
      </c>
      <c r="CG156" s="97">
        <f t="shared" ref="CG156" ca="1" si="949">SUM(E156:F156,L156:M156,S156:T156,Z156:AA156,AG156:AH156,AN156:AO156,AU156:AV156,BB156:BC156,BI156:BJ156,BP156:BQ156,BW156:BX156,CD156:CE156)</f>
        <v>129339.99999999999</v>
      </c>
      <c r="CH156" s="151">
        <f t="shared" ref="CH156" ca="1" si="950">IFERROR(IFERROR(VLOOKUP(TEXT($B156,0),INDIRECT("'Balance a "&amp;LEFT(CD$1,3)&amp;"'!$B$3:$G$300"),6,0),VLOOKUP(VALUE($B156),INDIRECT("'Balance a "&amp;LEFT(CD$1,3)&amp;"'!$B$3:$G$300"),6,0)),0)</f>
        <v>0</v>
      </c>
      <c r="CI156" s="188">
        <f t="shared" ref="CI156" ca="1" si="951">IFERROR(SUM(CD156:CE156)-CF156,0)</f>
        <v>10778.333333333334</v>
      </c>
      <c r="CJ156" s="5"/>
      <c r="CK156" s="5"/>
      <c r="CL156" s="5"/>
    </row>
    <row r="157" spans="1:90" s="6" customFormat="1">
      <c r="A157" s="133" t="s">
        <v>575</v>
      </c>
      <c r="B157" s="63">
        <v>53152006</v>
      </c>
      <c r="C157" s="134">
        <f t="shared" ca="1" si="831"/>
        <v>39522.559999999998</v>
      </c>
      <c r="D157" s="78"/>
      <c r="E157" s="126">
        <f ca="1">$C157/COUNTA(E$1:$CI$1)</f>
        <v>3293.5466666666666</v>
      </c>
      <c r="F157" s="126"/>
      <c r="G157" s="104">
        <f t="shared" ref="G157" ca="1" si="952">IFERROR(I157,0)</f>
        <v>0</v>
      </c>
      <c r="H157" s="98">
        <f t="shared" ref="H157" ca="1" si="953">IFERROR(E157,0)</f>
        <v>3293.5466666666666</v>
      </c>
      <c r="I157" s="57">
        <f t="shared" ref="I157" ca="1" si="954">IFERROR(IFERROR(VLOOKUP(TEXT($B157,0),INDIRECT("'Balance a "&amp;LEFT(E$1,3)&amp;"'!$B$3:$G$300"),4,0),VLOOKUP(VALUE($B157),INDIRECT("'Balance a "&amp;LEFT(E$1,3)&amp;"'!$B$3:$G$300"),4,0)),0)</f>
        <v>0</v>
      </c>
      <c r="J157" s="188">
        <f t="shared" ref="J157" ca="1" si="955">IFERROR(G157-E157,0)</f>
        <v>-3293.5466666666666</v>
      </c>
      <c r="K157" s="70"/>
      <c r="L157" s="126">
        <f t="shared" ref="L157" ca="1" si="956">E157+F157</f>
        <v>3293.5466666666666</v>
      </c>
      <c r="M157" s="126"/>
      <c r="N157" s="97">
        <f t="shared" ref="N157" ca="1" si="957">IFERROR(P157-I157,0)</f>
        <v>0</v>
      </c>
      <c r="O157" s="98">
        <f t="shared" ref="O157" ca="1" si="958">SUM(E157:F157,L157:M157)</f>
        <v>6587.0933333333332</v>
      </c>
      <c r="P157" s="151">
        <f t="shared" ref="P157" ca="1" si="959">IFERROR(IFERROR(VLOOKUP(TEXT($B157,0),INDIRECT("'Balance a "&amp;LEFT(L$1,3)&amp;"'!$B$3:$G$300"),6,0),VLOOKUP(VALUE($B157),INDIRECT("'Balance a "&amp;LEFT(L$1,3)&amp;"'!$B$3:$G$300"),6,0)),0)</f>
        <v>0</v>
      </c>
      <c r="Q157" s="188">
        <f t="shared" ref="Q157" ca="1" si="960">IFERROR(SUM(L157:M157)-N157,0)</f>
        <v>3293.5466666666666</v>
      </c>
      <c r="R157" s="70"/>
      <c r="S157" s="126">
        <f t="shared" ref="S157" ca="1" si="961">L157+M157</f>
        <v>3293.5466666666666</v>
      </c>
      <c r="T157" s="126"/>
      <c r="U157" s="97">
        <f t="shared" ref="U157" ca="1" si="962">IFERROR(W157-P157,0)</f>
        <v>0</v>
      </c>
      <c r="V157" s="97">
        <f t="shared" ref="V157" ca="1" si="963">SUM(E157:F157,L157:M157,S157:T157)</f>
        <v>9880.64</v>
      </c>
      <c r="W157" s="151">
        <f t="shared" ref="W157" ca="1" si="964">IFERROR(IFERROR(VLOOKUP(TEXT($B157,0),INDIRECT("'Balance a "&amp;LEFT(S$1,3)&amp;"'!$B$3:$G$300"),6,0),VLOOKUP(VALUE($B157),INDIRECT("'Balance a "&amp;LEFT(S$1,3)&amp;"'!$B$3:$G$300"),6,0)),0)</f>
        <v>0</v>
      </c>
      <c r="X157" s="188">
        <f t="shared" ref="X157" ca="1" si="965">IFERROR(SUM(S157:T157)-U157,0)</f>
        <v>3293.5466666666666</v>
      </c>
      <c r="Y157" s="70"/>
      <c r="Z157" s="126">
        <f t="shared" ref="Z157" ca="1" si="966">S157+T157</f>
        <v>3293.5466666666666</v>
      </c>
      <c r="AA157" s="126"/>
      <c r="AB157" s="97">
        <f t="shared" ref="AB157" ca="1" si="967">IFERROR(AD157-W157,0)</f>
        <v>0</v>
      </c>
      <c r="AC157" s="97">
        <f t="shared" ref="AC157" ca="1" si="968">SUM(E157:F157,L157:M157,S157:T157,Z157:AA157)</f>
        <v>13174.186666666666</v>
      </c>
      <c r="AD157" s="151">
        <f t="shared" ref="AD157" ca="1" si="969">IFERROR(IFERROR(VLOOKUP(TEXT($B157,0),INDIRECT("'Balance a "&amp;LEFT(Z$1,3)&amp;"'!$B$3:$G$300"),6,0),VLOOKUP(VALUE($B157),INDIRECT("'Balance a "&amp;LEFT(Z$1,3)&amp;"'!$B$3:$G$300"),6,0)),0)</f>
        <v>0</v>
      </c>
      <c r="AE157" s="188">
        <f t="shared" ref="AE157" ca="1" si="970">IFERROR(SUM(Z157:AA157)-AB157,0)</f>
        <v>3293.5466666666666</v>
      </c>
      <c r="AF157" s="70"/>
      <c r="AG157" s="126">
        <f t="shared" ref="AG157" ca="1" si="971">Z157+AA157</f>
        <v>3293.5466666666666</v>
      </c>
      <c r="AH157" s="126"/>
      <c r="AI157" s="97">
        <f t="shared" ref="AI157" ca="1" si="972">IFERROR(AK157-AD157,0)</f>
        <v>18221.28</v>
      </c>
      <c r="AJ157" s="97">
        <f t="shared" ref="AJ157" ca="1" si="973">SUM(E157:F157,L157:M157,S157:T157,Z157:AA157,AG157:AH157)</f>
        <v>16467.733333333334</v>
      </c>
      <c r="AK157" s="151">
        <f t="shared" ref="AK157" ca="1" si="974">IFERROR(IFERROR(VLOOKUP(TEXT($B157,0),INDIRECT("'Balance a "&amp;LEFT(AG$1,3)&amp;"'!$B$3:$G$300"),6,0),VLOOKUP(VALUE($B157),INDIRECT("'Balance a "&amp;LEFT(AG$1,3)&amp;"'!$B$3:$G$300"),6,0)),0)</f>
        <v>18221.28</v>
      </c>
      <c r="AL157" s="188">
        <f t="shared" ref="AL157" ca="1" si="975">IFERROR(SUM(AG157:AH157)-AI157,0)</f>
        <v>-14927.733333333332</v>
      </c>
      <c r="AM157" s="70"/>
      <c r="AN157" s="126">
        <f t="shared" ref="AN157" ca="1" si="976">AG157+AH157</f>
        <v>3293.5466666666666</v>
      </c>
      <c r="AO157" s="126"/>
      <c r="AP157" s="97">
        <f t="shared" ref="AP157" ca="1" si="977">IFERROR(AR157-AK157,0)</f>
        <v>1540</v>
      </c>
      <c r="AQ157" s="97">
        <f t="shared" ref="AQ157" ca="1" si="978">SUM(E157:F157,L157:M157,S157:T157,Z157:AA157,AG157:AH157,AN157:AO157)</f>
        <v>19761.28</v>
      </c>
      <c r="AR157" s="151">
        <f t="shared" ref="AR157" ca="1" si="979">IFERROR(IFERROR(VLOOKUP(TEXT($B157,0),INDIRECT("'Balance a "&amp;LEFT(AN$1,3)&amp;"'!$B$3:$G$300"),6,0),VLOOKUP(VALUE($B157),INDIRECT("'Balance a "&amp;LEFT(AN$1,3)&amp;"'!$B$3:$G$300"),6,0)),0)</f>
        <v>19761.28</v>
      </c>
      <c r="AS157" s="188">
        <f t="shared" ref="AS157" ca="1" si="980">IFERROR(SUM(AN157:AO157)-AP157,0)</f>
        <v>1753.5466666666666</v>
      </c>
      <c r="AT157" s="70"/>
      <c r="AU157" s="126">
        <f t="shared" ref="AU157" ca="1" si="981">AN157+AO157</f>
        <v>3293.5466666666666</v>
      </c>
      <c r="AV157" s="126"/>
      <c r="AW157" s="97">
        <f t="shared" ref="AW157" ca="1" si="982">IFERROR(AY157-AR157,0)</f>
        <v>16880</v>
      </c>
      <c r="AX157" s="126">
        <f t="shared" ref="AX157" ca="1" si="983">SUM(E157:F157,L157:M157,S157:T157,Z157:AA157,AG157:AH157,AN157:AO157,AU157:AV157)</f>
        <v>23054.826666666664</v>
      </c>
      <c r="AY157" s="151">
        <f t="shared" ref="AY157" ca="1" si="984">IFERROR(IFERROR(VLOOKUP(TEXT($B157,0),INDIRECT("'Balance a "&amp;LEFT(AU$1,3)&amp;"'!$B$3:$G$300"),6,0),VLOOKUP(VALUE($B157),INDIRECT("'Balance a "&amp;LEFT(AU$1,3)&amp;"'!$B$3:$G$300"),6,0)),0)</f>
        <v>36641.279999999999</v>
      </c>
      <c r="AZ157" s="188">
        <f t="shared" ref="AZ157" ca="1" si="985">IFERROR(SUM(AU157:AV157)-AW157,0)</f>
        <v>-13586.453333333333</v>
      </c>
      <c r="BA157" s="144"/>
      <c r="BB157" s="126">
        <f t="shared" ref="BB157" ca="1" si="986">AU157+AV157</f>
        <v>3293.5466666666666</v>
      </c>
      <c r="BC157" s="126"/>
      <c r="BD157" s="97">
        <f t="shared" ref="BD157" ca="1" si="987">IFERROR(BF157-AY157,0)</f>
        <v>7153.6200000000026</v>
      </c>
      <c r="BE157" s="97">
        <f t="shared" ref="BE157" ca="1" si="988">SUM(E157:F157,L157:M157,S157:T157,Z157:AA157,AG157:AH157,AN157:AO157,AU157:AV157,BB157:BC157)</f>
        <v>26348.373333333329</v>
      </c>
      <c r="BF157" s="151">
        <f t="shared" ref="BF157" ca="1" si="989">IFERROR(IFERROR(VLOOKUP(TEXT($B157,0),INDIRECT("'Balance a "&amp;LEFT(BB$1,3)&amp;"'!$B$3:$G$300"),6,0),VLOOKUP(VALUE($B157),INDIRECT("'Balance a "&amp;LEFT(BB$1,3)&amp;"'!$B$3:$G$300"),6,0)),0)</f>
        <v>43794.9</v>
      </c>
      <c r="BG157" s="188">
        <f t="shared" ref="BG157" ca="1" si="990">IFERROR(SUM(BB157:BC157)-BD157,0)</f>
        <v>-3860.073333333336</v>
      </c>
      <c r="BH157" s="144"/>
      <c r="BI157" s="126">
        <f t="shared" ref="BI157" ca="1" si="991">BB157+BC157</f>
        <v>3293.5466666666666</v>
      </c>
      <c r="BJ157" s="126"/>
      <c r="BK157" s="97">
        <f t="shared" ca="1" si="871"/>
        <v>0</v>
      </c>
      <c r="BL157" s="97">
        <f t="shared" ref="BL157" ca="1" si="992">SUM(E157:F157,L157:M157,S157:T157,Z157:AA157,AG157:AH157,AN157:AO157,AU157:AV157,BB157:BC157,BI157:BJ157)</f>
        <v>29641.919999999995</v>
      </c>
      <c r="BM157" s="151">
        <f t="shared" ref="BM157" ca="1" si="993">IFERROR(IFERROR(VLOOKUP(TEXT($B157,0),INDIRECT("'Balance a "&amp;LEFT(BI$1,3)&amp;"'!$B$3:$G$300"),6,0),VLOOKUP(VALUE($B157),INDIRECT("'Balance a "&amp;LEFT(BI$1,3)&amp;"'!$B$3:$G$300"),6,0)),0)</f>
        <v>0</v>
      </c>
      <c r="BN157" s="188">
        <f t="shared" ref="BN157" ca="1" si="994">IFERROR(SUM(BI157:BJ157)-BK157,0)</f>
        <v>3293.5466666666666</v>
      </c>
      <c r="BO157" s="144"/>
      <c r="BP157" s="126">
        <f t="shared" ref="BP157" ca="1" si="995">BI157+BJ157</f>
        <v>3293.5466666666666</v>
      </c>
      <c r="BQ157" s="126"/>
      <c r="BR157" s="97">
        <f t="shared" ref="BR157" ca="1" si="996">IFERROR(BT157-BM157,0)</f>
        <v>0</v>
      </c>
      <c r="BS157" s="97">
        <f t="shared" ref="BS157" ca="1" si="997">SUM(E157:F157,L157:M157,S157:T157,Z157:AA157,AG157:AH157,AN157:AO157,AU157:AV157,BB157:BC157,BI157:BJ157,BP157:BQ157)</f>
        <v>32935.46666666666</v>
      </c>
      <c r="BT157" s="151">
        <f t="shared" ref="BT157" ca="1" si="998">IFERROR(IFERROR(VLOOKUP(TEXT($B157,0),INDIRECT("'Balance a "&amp;LEFT(BP$1,3)&amp;"'!$B$3:$G$300"),6,0),VLOOKUP(VALUE($B157),INDIRECT("'Balance a "&amp;LEFT(BP$1,3)&amp;"'!$B$3:$G$300"),6,0)),0)</f>
        <v>0</v>
      </c>
      <c r="BU157" s="188">
        <f t="shared" ref="BU157" ca="1" si="999">IFERROR(SUM(BP157:BQ157)-BR157,0)</f>
        <v>3293.5466666666666</v>
      </c>
      <c r="BV157" s="144"/>
      <c r="BW157" s="126">
        <f t="shared" ref="BW157" ca="1" si="1000">BP157+BQ157</f>
        <v>3293.5466666666666</v>
      </c>
      <c r="BX157" s="126"/>
      <c r="BY157" s="97">
        <f t="shared" ref="BY157" ca="1" si="1001">IFERROR(CA157-BT157,0)</f>
        <v>0</v>
      </c>
      <c r="BZ157" s="97">
        <f t="shared" ref="BZ157" ca="1" si="1002">SUM(E157:F157,L157:M157,S157:T157,Z157:AA157,AG157:AH157,AN157:AO157,AU157:AV157,BB157:BC157,BI157:BJ157,BP157:BQ157,BW157:BX157)</f>
        <v>36229.013333333329</v>
      </c>
      <c r="CA157" s="151">
        <f t="shared" ref="CA157" ca="1" si="1003">IFERROR(IFERROR(VLOOKUP(TEXT($B157,0),INDIRECT("'Balance a "&amp;LEFT(BW$1,3)&amp;"'!$B$3:$G$300"),6,0),VLOOKUP(VALUE($B157),INDIRECT("'Balance a "&amp;LEFT(BW$1,3)&amp;"'!$B$3:$G$300"),6,0)),0)</f>
        <v>0</v>
      </c>
      <c r="CB157" s="188">
        <f t="shared" ref="CB157" ca="1" si="1004">IFERROR(SUM(BW157:BX157)-BY157,0)</f>
        <v>3293.5466666666666</v>
      </c>
      <c r="CC157" s="144"/>
      <c r="CD157" s="126">
        <f t="shared" ref="CD157" ca="1" si="1005">BW157+BX157</f>
        <v>3293.5466666666666</v>
      </c>
      <c r="CE157" s="126"/>
      <c r="CF157" s="97">
        <f t="shared" ref="CF157" ca="1" si="1006">IFERROR(CH157-CA157,0)</f>
        <v>0</v>
      </c>
      <c r="CG157" s="97">
        <f t="shared" ref="CG157" ca="1" si="1007">SUM(E157:F157,L157:M157,S157:T157,Z157:AA157,AG157:AH157,AN157:AO157,AU157:AV157,BB157:BC157,BI157:BJ157,BP157:BQ157,BW157:BX157,CD157:CE157)</f>
        <v>39522.559999999998</v>
      </c>
      <c r="CH157" s="151">
        <f t="shared" ref="CH157" ca="1" si="1008">IFERROR(IFERROR(VLOOKUP(TEXT($B157,0),INDIRECT("'Balance a "&amp;LEFT(CD$1,3)&amp;"'!$B$3:$G$300"),6,0),VLOOKUP(VALUE($B157),INDIRECT("'Balance a "&amp;LEFT(CD$1,3)&amp;"'!$B$3:$G$300"),6,0)),0)</f>
        <v>0</v>
      </c>
      <c r="CI157" s="188">
        <f t="shared" ref="CI157" ca="1" si="1009">IFERROR(SUM(CD157:CE157)-CF157,0)</f>
        <v>3293.5466666666666</v>
      </c>
      <c r="CJ157" s="5"/>
      <c r="CK157" s="5"/>
      <c r="CL157" s="5"/>
    </row>
    <row r="158" spans="1:90" s="6" customFormat="1">
      <c r="A158" s="133" t="s">
        <v>184</v>
      </c>
      <c r="B158" s="63">
        <v>53952001</v>
      </c>
      <c r="C158" s="134">
        <f t="shared" ca="1" si="831"/>
        <v>364000</v>
      </c>
      <c r="D158" s="78"/>
      <c r="E158" s="126">
        <f ca="1">$C158/COUNTA(E$1:$CI$1)</f>
        <v>30333.333333333332</v>
      </c>
      <c r="F158" s="126"/>
      <c r="G158" s="104">
        <f t="shared" ca="1" si="891"/>
        <v>182000</v>
      </c>
      <c r="H158" s="98">
        <f t="shared" ca="1" si="892"/>
        <v>30333.333333333332</v>
      </c>
      <c r="I158" s="57">
        <f t="shared" ca="1" si="890"/>
        <v>182000</v>
      </c>
      <c r="J158" s="188">
        <f t="shared" ca="1" si="893"/>
        <v>151666.66666666666</v>
      </c>
      <c r="K158" s="70"/>
      <c r="L158" s="126">
        <f t="shared" ca="1" si="835"/>
        <v>30333.333333333332</v>
      </c>
      <c r="M158" s="126"/>
      <c r="N158" s="97">
        <f t="shared" ca="1" si="836"/>
        <v>0</v>
      </c>
      <c r="O158" s="98">
        <f t="shared" ca="1" si="837"/>
        <v>60666.666666666664</v>
      </c>
      <c r="P158" s="151">
        <f t="shared" ca="1" si="838"/>
        <v>182000</v>
      </c>
      <c r="Q158" s="188">
        <f t="shared" ca="1" si="839"/>
        <v>30333.333333333332</v>
      </c>
      <c r="R158" s="70"/>
      <c r="S158" s="126">
        <f t="shared" ca="1" si="840"/>
        <v>30333.333333333332</v>
      </c>
      <c r="T158" s="126"/>
      <c r="U158" s="97">
        <f t="shared" ca="1" si="841"/>
        <v>0</v>
      </c>
      <c r="V158" s="97">
        <f t="shared" ca="1" si="842"/>
        <v>91000</v>
      </c>
      <c r="W158" s="151">
        <f t="shared" ca="1" si="843"/>
        <v>182000</v>
      </c>
      <c r="X158" s="188">
        <f t="shared" ca="1" si="844"/>
        <v>30333.333333333332</v>
      </c>
      <c r="Y158" s="70"/>
      <c r="Z158" s="126">
        <f t="shared" ca="1" si="845"/>
        <v>30333.333333333332</v>
      </c>
      <c r="AA158" s="126"/>
      <c r="AB158" s="97">
        <f t="shared" ca="1" si="846"/>
        <v>0</v>
      </c>
      <c r="AC158" s="97">
        <f t="shared" ca="1" si="847"/>
        <v>121333.33333333333</v>
      </c>
      <c r="AD158" s="151">
        <f t="shared" ca="1" si="848"/>
        <v>182000</v>
      </c>
      <c r="AE158" s="188">
        <f t="shared" ca="1" si="849"/>
        <v>30333.333333333332</v>
      </c>
      <c r="AF158" s="70"/>
      <c r="AG158" s="126">
        <f t="shared" ca="1" si="850"/>
        <v>30333.333333333332</v>
      </c>
      <c r="AH158" s="126"/>
      <c r="AI158" s="97">
        <f t="shared" ca="1" si="851"/>
        <v>0</v>
      </c>
      <c r="AJ158" s="97">
        <f t="shared" ca="1" si="852"/>
        <v>151666.66666666666</v>
      </c>
      <c r="AK158" s="151">
        <f t="shared" ca="1" si="853"/>
        <v>182000</v>
      </c>
      <c r="AL158" s="188">
        <f t="shared" ca="1" si="854"/>
        <v>30333.333333333332</v>
      </c>
      <c r="AM158" s="70"/>
      <c r="AN158" s="126">
        <f t="shared" ca="1" si="855"/>
        <v>30333.333333333332</v>
      </c>
      <c r="AO158" s="126"/>
      <c r="AP158" s="97">
        <f t="shared" ca="1" si="856"/>
        <v>0</v>
      </c>
      <c r="AQ158" s="97">
        <f t="shared" ca="1" si="857"/>
        <v>182000</v>
      </c>
      <c r="AR158" s="151">
        <f t="shared" ca="1" si="858"/>
        <v>182000</v>
      </c>
      <c r="AS158" s="188">
        <f t="shared" ca="1" si="859"/>
        <v>30333.333333333332</v>
      </c>
      <c r="AT158" s="70"/>
      <c r="AU158" s="126">
        <f t="shared" ca="1" si="860"/>
        <v>30333.333333333332</v>
      </c>
      <c r="AV158" s="126"/>
      <c r="AW158" s="97">
        <f t="shared" ca="1" si="861"/>
        <v>0</v>
      </c>
      <c r="AX158" s="126">
        <f t="shared" ca="1" si="862"/>
        <v>212333.33333333334</v>
      </c>
      <c r="AY158" s="151">
        <f t="shared" ca="1" si="863"/>
        <v>182000</v>
      </c>
      <c r="AZ158" s="188">
        <f t="shared" ca="1" si="864"/>
        <v>30333.333333333332</v>
      </c>
      <c r="BA158" s="144"/>
      <c r="BB158" s="126">
        <f t="shared" ca="1" si="865"/>
        <v>30333.333333333332</v>
      </c>
      <c r="BC158" s="126"/>
      <c r="BD158" s="97">
        <f t="shared" ca="1" si="866"/>
        <v>0</v>
      </c>
      <c r="BE158" s="97">
        <f t="shared" ca="1" si="867"/>
        <v>242666.66666666669</v>
      </c>
      <c r="BF158" s="151">
        <f t="shared" ca="1" si="868"/>
        <v>182000</v>
      </c>
      <c r="BG158" s="188">
        <f t="shared" ca="1" si="869"/>
        <v>30333.333333333332</v>
      </c>
      <c r="BH158" s="144"/>
      <c r="BI158" s="126">
        <f t="shared" ca="1" si="870"/>
        <v>30333.333333333332</v>
      </c>
      <c r="BJ158" s="126"/>
      <c r="BK158" s="97">
        <f t="shared" ca="1" si="871"/>
        <v>0</v>
      </c>
      <c r="BL158" s="97">
        <f t="shared" ca="1" si="872"/>
        <v>273000</v>
      </c>
      <c r="BM158" s="151">
        <f t="shared" ca="1" si="873"/>
        <v>0</v>
      </c>
      <c r="BN158" s="188">
        <f t="shared" ca="1" si="874"/>
        <v>30333.333333333332</v>
      </c>
      <c r="BO158" s="144"/>
      <c r="BP158" s="126">
        <f t="shared" ca="1" si="875"/>
        <v>30333.333333333332</v>
      </c>
      <c r="BQ158" s="126"/>
      <c r="BR158" s="97">
        <f t="shared" ca="1" si="876"/>
        <v>0</v>
      </c>
      <c r="BS158" s="97">
        <f t="shared" ca="1" si="877"/>
        <v>303333.33333333331</v>
      </c>
      <c r="BT158" s="151">
        <f t="shared" ca="1" si="878"/>
        <v>0</v>
      </c>
      <c r="BU158" s="188">
        <f t="shared" ca="1" si="879"/>
        <v>30333.333333333332</v>
      </c>
      <c r="BV158" s="144"/>
      <c r="BW158" s="126">
        <f t="shared" ca="1" si="880"/>
        <v>30333.333333333332</v>
      </c>
      <c r="BX158" s="126"/>
      <c r="BY158" s="97">
        <f t="shared" ca="1" si="881"/>
        <v>0</v>
      </c>
      <c r="BZ158" s="97">
        <f t="shared" ca="1" si="882"/>
        <v>333666.66666666663</v>
      </c>
      <c r="CA158" s="151">
        <f t="shared" ca="1" si="883"/>
        <v>0</v>
      </c>
      <c r="CB158" s="188">
        <f t="shared" ca="1" si="884"/>
        <v>30333.333333333332</v>
      </c>
      <c r="CC158" s="144"/>
      <c r="CD158" s="126">
        <f t="shared" ca="1" si="885"/>
        <v>30333.333333333332</v>
      </c>
      <c r="CE158" s="126"/>
      <c r="CF158" s="97">
        <f t="shared" ca="1" si="886"/>
        <v>0</v>
      </c>
      <c r="CG158" s="97">
        <f t="shared" ca="1" si="887"/>
        <v>363999.99999999994</v>
      </c>
      <c r="CH158" s="151">
        <f t="shared" ca="1" si="888"/>
        <v>0</v>
      </c>
      <c r="CI158" s="188">
        <f t="shared" ca="1" si="889"/>
        <v>30333.333333333332</v>
      </c>
      <c r="CJ158" s="5"/>
      <c r="CK158" s="5"/>
      <c r="CL158" s="5"/>
    </row>
    <row r="159" spans="1:90" s="6" customFormat="1">
      <c r="A159" s="133" t="s">
        <v>185</v>
      </c>
      <c r="B159" s="63">
        <v>53952501</v>
      </c>
      <c r="C159" s="134">
        <f t="shared" ca="1" si="831"/>
        <v>1800000</v>
      </c>
      <c r="D159" s="78"/>
      <c r="E159" s="126">
        <v>150000</v>
      </c>
      <c r="F159" s="126"/>
      <c r="G159" s="104">
        <f t="shared" ca="1" si="891"/>
        <v>150000</v>
      </c>
      <c r="H159" s="98">
        <f t="shared" si="892"/>
        <v>150000</v>
      </c>
      <c r="I159" s="57">
        <f t="shared" ca="1" si="890"/>
        <v>150000</v>
      </c>
      <c r="J159" s="188">
        <f t="shared" ca="1" si="893"/>
        <v>0</v>
      </c>
      <c r="K159" s="70"/>
      <c r="L159" s="126">
        <f t="shared" si="835"/>
        <v>150000</v>
      </c>
      <c r="M159" s="126"/>
      <c r="N159" s="97">
        <f t="shared" ca="1" si="836"/>
        <v>150000</v>
      </c>
      <c r="O159" s="98">
        <f t="shared" si="837"/>
        <v>300000</v>
      </c>
      <c r="P159" s="151">
        <f t="shared" ca="1" si="838"/>
        <v>300000</v>
      </c>
      <c r="Q159" s="188">
        <f t="shared" ca="1" si="839"/>
        <v>0</v>
      </c>
      <c r="R159" s="70"/>
      <c r="S159" s="126">
        <f t="shared" si="840"/>
        <v>150000</v>
      </c>
      <c r="T159" s="126"/>
      <c r="U159" s="97">
        <f t="shared" ca="1" si="841"/>
        <v>150000</v>
      </c>
      <c r="V159" s="97">
        <f t="shared" si="842"/>
        <v>450000</v>
      </c>
      <c r="W159" s="151">
        <f t="shared" ca="1" si="843"/>
        <v>450000</v>
      </c>
      <c r="X159" s="188">
        <f t="shared" ca="1" si="844"/>
        <v>0</v>
      </c>
      <c r="Y159" s="70"/>
      <c r="Z159" s="126">
        <f t="shared" si="845"/>
        <v>150000</v>
      </c>
      <c r="AA159" s="126"/>
      <c r="AB159" s="97">
        <f t="shared" ca="1" si="846"/>
        <v>150000</v>
      </c>
      <c r="AC159" s="97">
        <f t="shared" si="847"/>
        <v>600000</v>
      </c>
      <c r="AD159" s="151">
        <f t="shared" ca="1" si="848"/>
        <v>600000</v>
      </c>
      <c r="AE159" s="188">
        <f t="shared" ca="1" si="849"/>
        <v>0</v>
      </c>
      <c r="AF159" s="70"/>
      <c r="AG159" s="126">
        <f t="shared" si="850"/>
        <v>150000</v>
      </c>
      <c r="AH159" s="126"/>
      <c r="AI159" s="97">
        <f t="shared" ca="1" si="851"/>
        <v>150000</v>
      </c>
      <c r="AJ159" s="97">
        <f t="shared" si="852"/>
        <v>750000</v>
      </c>
      <c r="AK159" s="151">
        <f t="shared" ca="1" si="853"/>
        <v>750000</v>
      </c>
      <c r="AL159" s="188">
        <f t="shared" ca="1" si="854"/>
        <v>0</v>
      </c>
      <c r="AM159" s="70"/>
      <c r="AN159" s="126">
        <f t="shared" si="855"/>
        <v>150000</v>
      </c>
      <c r="AO159" s="126"/>
      <c r="AP159" s="97">
        <f t="shared" ca="1" si="856"/>
        <v>150000</v>
      </c>
      <c r="AQ159" s="97">
        <f t="shared" si="857"/>
        <v>900000</v>
      </c>
      <c r="AR159" s="151">
        <f t="shared" ca="1" si="858"/>
        <v>900000</v>
      </c>
      <c r="AS159" s="188">
        <f t="shared" ca="1" si="859"/>
        <v>0</v>
      </c>
      <c r="AT159" s="70"/>
      <c r="AU159" s="126">
        <f t="shared" si="860"/>
        <v>150000</v>
      </c>
      <c r="AV159" s="126"/>
      <c r="AW159" s="97">
        <f t="shared" ca="1" si="861"/>
        <v>150000</v>
      </c>
      <c r="AX159" s="126">
        <f t="shared" si="862"/>
        <v>1050000</v>
      </c>
      <c r="AY159" s="151">
        <f t="shared" ca="1" si="863"/>
        <v>1050000</v>
      </c>
      <c r="AZ159" s="188">
        <f t="shared" ca="1" si="864"/>
        <v>0</v>
      </c>
      <c r="BA159" s="144"/>
      <c r="BB159" s="126">
        <f t="shared" si="865"/>
        <v>150000</v>
      </c>
      <c r="BC159" s="126"/>
      <c r="BD159" s="97">
        <f t="shared" ca="1" si="866"/>
        <v>150000</v>
      </c>
      <c r="BE159" s="97">
        <f t="shared" si="867"/>
        <v>1200000</v>
      </c>
      <c r="BF159" s="151">
        <f t="shared" ca="1" si="868"/>
        <v>1200000</v>
      </c>
      <c r="BG159" s="188">
        <f t="shared" ca="1" si="869"/>
        <v>0</v>
      </c>
      <c r="BH159" s="144"/>
      <c r="BI159" s="126">
        <f t="shared" si="870"/>
        <v>150000</v>
      </c>
      <c r="BJ159" s="126"/>
      <c r="BK159" s="97">
        <f t="shared" ca="1" si="871"/>
        <v>0</v>
      </c>
      <c r="BL159" s="97">
        <f t="shared" si="872"/>
        <v>1350000</v>
      </c>
      <c r="BM159" s="151">
        <f t="shared" ca="1" si="873"/>
        <v>0</v>
      </c>
      <c r="BN159" s="188">
        <f t="shared" ca="1" si="874"/>
        <v>150000</v>
      </c>
      <c r="BO159" s="144"/>
      <c r="BP159" s="126">
        <f t="shared" si="875"/>
        <v>150000</v>
      </c>
      <c r="BQ159" s="126"/>
      <c r="BR159" s="97">
        <f t="shared" ca="1" si="876"/>
        <v>0</v>
      </c>
      <c r="BS159" s="97">
        <f t="shared" si="877"/>
        <v>1500000</v>
      </c>
      <c r="BT159" s="151">
        <f t="shared" ca="1" si="878"/>
        <v>0</v>
      </c>
      <c r="BU159" s="188">
        <f t="shared" ca="1" si="879"/>
        <v>150000</v>
      </c>
      <c r="BV159" s="144"/>
      <c r="BW159" s="126">
        <f t="shared" si="880"/>
        <v>150000</v>
      </c>
      <c r="BX159" s="126"/>
      <c r="BY159" s="97">
        <f t="shared" ca="1" si="881"/>
        <v>0</v>
      </c>
      <c r="BZ159" s="97">
        <f t="shared" si="882"/>
        <v>1650000</v>
      </c>
      <c r="CA159" s="151">
        <f t="shared" ca="1" si="883"/>
        <v>0</v>
      </c>
      <c r="CB159" s="188">
        <f t="shared" ca="1" si="884"/>
        <v>150000</v>
      </c>
      <c r="CC159" s="144"/>
      <c r="CD159" s="126">
        <f t="shared" si="885"/>
        <v>150000</v>
      </c>
      <c r="CE159" s="126"/>
      <c r="CF159" s="97">
        <f t="shared" ca="1" si="886"/>
        <v>0</v>
      </c>
      <c r="CG159" s="97">
        <f t="shared" si="887"/>
        <v>1800000</v>
      </c>
      <c r="CH159" s="151">
        <f t="shared" ca="1" si="888"/>
        <v>0</v>
      </c>
      <c r="CI159" s="188">
        <f t="shared" ca="1" si="889"/>
        <v>150000</v>
      </c>
      <c r="CJ159" s="5"/>
      <c r="CK159" s="5"/>
      <c r="CL159" s="5"/>
    </row>
    <row r="160" spans="1:90" s="6" customFormat="1" ht="17.25" customHeight="1">
      <c r="A160" s="133" t="s">
        <v>457</v>
      </c>
      <c r="B160" s="63">
        <v>53953501</v>
      </c>
      <c r="C160" s="134">
        <f t="shared" ca="1" si="831"/>
        <v>0</v>
      </c>
      <c r="D160" s="78"/>
      <c r="E160" s="126">
        <f ca="1">$C160/COUNTA(E$1:$CI$1)</f>
        <v>0</v>
      </c>
      <c r="F160" s="126"/>
      <c r="G160" s="104">
        <f t="shared" ref="G160" ca="1" si="1010">IFERROR(I160,0)</f>
        <v>0</v>
      </c>
      <c r="H160" s="98">
        <f t="shared" ref="H160" ca="1" si="1011">IFERROR(E160,0)</f>
        <v>0</v>
      </c>
      <c r="I160" s="57">
        <f ca="1">IFERROR(IFERROR(VLOOKUP(TEXT($B160,0),INDIRECT("'Balance a "&amp;LEFT(E$1,3)&amp;"'!$B$3:$G$300"),4,0),VLOOKUP(VALUE($B160),INDIRECT("'Balance a "&amp;LEFT(E$1,3)&amp;"'!$B$3:$G$300"),4,0)),0)</f>
        <v>0</v>
      </c>
      <c r="J160" s="188">
        <f t="shared" ref="J160" ca="1" si="1012">IFERROR(G160-E160,0)</f>
        <v>0</v>
      </c>
      <c r="K160" s="70"/>
      <c r="L160" s="126">
        <f t="shared" ca="1" si="835"/>
        <v>0</v>
      </c>
      <c r="M160" s="126"/>
      <c r="N160" s="97">
        <f t="shared" ca="1" si="836"/>
        <v>0</v>
      </c>
      <c r="O160" s="98">
        <f t="shared" ca="1" si="837"/>
        <v>0</v>
      </c>
      <c r="P160" s="151">
        <f t="shared" ca="1" si="838"/>
        <v>0</v>
      </c>
      <c r="Q160" s="188">
        <f t="shared" ca="1" si="839"/>
        <v>0</v>
      </c>
      <c r="R160" s="70"/>
      <c r="S160" s="126">
        <f t="shared" ca="1" si="840"/>
        <v>0</v>
      </c>
      <c r="T160" s="126"/>
      <c r="U160" s="97">
        <f t="shared" ca="1" si="841"/>
        <v>0</v>
      </c>
      <c r="V160" s="97">
        <f t="shared" ca="1" si="842"/>
        <v>0</v>
      </c>
      <c r="W160" s="151">
        <f t="shared" ca="1" si="843"/>
        <v>0</v>
      </c>
      <c r="X160" s="188">
        <f t="shared" ca="1" si="844"/>
        <v>0</v>
      </c>
      <c r="Y160" s="70"/>
      <c r="Z160" s="126">
        <f t="shared" ca="1" si="845"/>
        <v>0</v>
      </c>
      <c r="AA160" s="126"/>
      <c r="AB160" s="97">
        <f t="shared" ca="1" si="846"/>
        <v>0</v>
      </c>
      <c r="AC160" s="97">
        <f t="shared" ca="1" si="847"/>
        <v>0</v>
      </c>
      <c r="AD160" s="151">
        <f t="shared" ca="1" si="848"/>
        <v>0</v>
      </c>
      <c r="AE160" s="188">
        <f t="shared" ca="1" si="849"/>
        <v>0</v>
      </c>
      <c r="AF160" s="70"/>
      <c r="AG160" s="126">
        <f t="shared" ca="1" si="850"/>
        <v>0</v>
      </c>
      <c r="AH160" s="126"/>
      <c r="AI160" s="97">
        <f t="shared" ca="1" si="851"/>
        <v>0</v>
      </c>
      <c r="AJ160" s="97">
        <f t="shared" ca="1" si="852"/>
        <v>0</v>
      </c>
      <c r="AK160" s="151">
        <f t="shared" ca="1" si="853"/>
        <v>0</v>
      </c>
      <c r="AL160" s="188">
        <f t="shared" ca="1" si="854"/>
        <v>0</v>
      </c>
      <c r="AM160" s="70"/>
      <c r="AN160" s="126">
        <f t="shared" ca="1" si="855"/>
        <v>0</v>
      </c>
      <c r="AO160" s="126"/>
      <c r="AP160" s="97">
        <f t="shared" ca="1" si="856"/>
        <v>0</v>
      </c>
      <c r="AQ160" s="97">
        <f t="shared" ca="1" si="857"/>
        <v>0</v>
      </c>
      <c r="AR160" s="151">
        <f t="shared" ca="1" si="858"/>
        <v>0</v>
      </c>
      <c r="AS160" s="188">
        <f t="shared" ca="1" si="859"/>
        <v>0</v>
      </c>
      <c r="AT160" s="70"/>
      <c r="AU160" s="126">
        <f t="shared" ca="1" si="860"/>
        <v>0</v>
      </c>
      <c r="AV160" s="126"/>
      <c r="AW160" s="97">
        <f t="shared" ca="1" si="861"/>
        <v>0</v>
      </c>
      <c r="AX160" s="126">
        <f t="shared" ca="1" si="862"/>
        <v>0</v>
      </c>
      <c r="AY160" s="151">
        <f t="shared" ca="1" si="863"/>
        <v>0</v>
      </c>
      <c r="AZ160" s="188">
        <f t="shared" ca="1" si="864"/>
        <v>0</v>
      </c>
      <c r="BA160" s="144"/>
      <c r="BB160" s="126">
        <f t="shared" ca="1" si="865"/>
        <v>0</v>
      </c>
      <c r="BC160" s="126"/>
      <c r="BD160" s="97">
        <f t="shared" ca="1" si="866"/>
        <v>0</v>
      </c>
      <c r="BE160" s="97">
        <f t="shared" ca="1" si="867"/>
        <v>0</v>
      </c>
      <c r="BF160" s="151">
        <f t="shared" ca="1" si="868"/>
        <v>0</v>
      </c>
      <c r="BG160" s="188">
        <f t="shared" ca="1" si="869"/>
        <v>0</v>
      </c>
      <c r="BH160" s="144"/>
      <c r="BI160" s="126">
        <f t="shared" ca="1" si="870"/>
        <v>0</v>
      </c>
      <c r="BJ160" s="126"/>
      <c r="BK160" s="97">
        <f t="shared" ca="1" si="871"/>
        <v>0</v>
      </c>
      <c r="BL160" s="97">
        <f t="shared" ca="1" si="872"/>
        <v>0</v>
      </c>
      <c r="BM160" s="151">
        <f t="shared" ca="1" si="873"/>
        <v>0</v>
      </c>
      <c r="BN160" s="188">
        <f t="shared" ca="1" si="874"/>
        <v>0</v>
      </c>
      <c r="BO160" s="144"/>
      <c r="BP160" s="126">
        <f t="shared" ca="1" si="875"/>
        <v>0</v>
      </c>
      <c r="BQ160" s="126"/>
      <c r="BR160" s="97">
        <f t="shared" ca="1" si="876"/>
        <v>0</v>
      </c>
      <c r="BS160" s="97">
        <f t="shared" ca="1" si="877"/>
        <v>0</v>
      </c>
      <c r="BT160" s="151">
        <f t="shared" ca="1" si="878"/>
        <v>0</v>
      </c>
      <c r="BU160" s="188">
        <f t="shared" ca="1" si="879"/>
        <v>0</v>
      </c>
      <c r="BV160" s="144"/>
      <c r="BW160" s="126">
        <f t="shared" ca="1" si="880"/>
        <v>0</v>
      </c>
      <c r="BX160" s="126"/>
      <c r="BY160" s="97">
        <f t="shared" ca="1" si="881"/>
        <v>0</v>
      </c>
      <c r="BZ160" s="97">
        <f t="shared" ca="1" si="882"/>
        <v>0</v>
      </c>
      <c r="CA160" s="151">
        <f t="shared" ca="1" si="883"/>
        <v>0</v>
      </c>
      <c r="CB160" s="188">
        <f t="shared" ca="1" si="884"/>
        <v>0</v>
      </c>
      <c r="CC160" s="144"/>
      <c r="CD160" s="126">
        <f t="shared" ca="1" si="885"/>
        <v>0</v>
      </c>
      <c r="CE160" s="126"/>
      <c r="CF160" s="97">
        <f t="shared" ca="1" si="886"/>
        <v>0</v>
      </c>
      <c r="CG160" s="97">
        <f t="shared" ca="1" si="887"/>
        <v>0</v>
      </c>
      <c r="CH160" s="151">
        <f t="shared" ca="1" si="888"/>
        <v>0</v>
      </c>
      <c r="CI160" s="188">
        <f t="shared" ca="1" si="889"/>
        <v>0</v>
      </c>
      <c r="CJ160" s="5"/>
      <c r="CK160" s="5"/>
      <c r="CL160" s="5"/>
    </row>
    <row r="161" spans="1:90" s="6" customFormat="1">
      <c r="A161" s="133" t="s">
        <v>99</v>
      </c>
      <c r="B161" s="63">
        <v>53959501</v>
      </c>
      <c r="C161" s="134">
        <f t="shared" ca="1" si="831"/>
        <v>8692.3599999992803</v>
      </c>
      <c r="D161" s="78"/>
      <c r="E161" s="126">
        <f ca="1">$C161/COUNTA(E$1:$CI$1)</f>
        <v>724.36333333327332</v>
      </c>
      <c r="F161" s="126"/>
      <c r="G161" s="104">
        <f t="shared" ca="1" si="891"/>
        <v>722.64</v>
      </c>
      <c r="H161" s="98">
        <f t="shared" ca="1" si="892"/>
        <v>724.36333333327332</v>
      </c>
      <c r="I161" s="57">
        <f t="shared" ca="1" si="890"/>
        <v>722.64</v>
      </c>
      <c r="J161" s="188">
        <f t="shared" ca="1" si="893"/>
        <v>-1.7233333332733309</v>
      </c>
      <c r="K161" s="70"/>
      <c r="L161" s="126">
        <f t="shared" ca="1" si="835"/>
        <v>724.36333333327332</v>
      </c>
      <c r="M161" s="126"/>
      <c r="N161" s="97">
        <f t="shared" ca="1" si="836"/>
        <v>-131.88000000034003</v>
      </c>
      <c r="O161" s="98">
        <f t="shared" ca="1" si="837"/>
        <v>1448.7266666665466</v>
      </c>
      <c r="P161" s="151">
        <f t="shared" ca="1" si="838"/>
        <v>590.75999999965995</v>
      </c>
      <c r="Q161" s="188">
        <f t="shared" ca="1" si="839"/>
        <v>856.24333333361335</v>
      </c>
      <c r="R161" s="70"/>
      <c r="S161" s="126">
        <f t="shared" ca="1" si="840"/>
        <v>724.36333333327332</v>
      </c>
      <c r="T161" s="126"/>
      <c r="U161" s="97">
        <f t="shared" ca="1" si="841"/>
        <v>162.89000000001408</v>
      </c>
      <c r="V161" s="97">
        <f t="shared" ca="1" si="842"/>
        <v>2173.0899999998201</v>
      </c>
      <c r="W161" s="151">
        <f t="shared" ca="1" si="843"/>
        <v>753.64999999967404</v>
      </c>
      <c r="X161" s="188">
        <f t="shared" ca="1" si="844"/>
        <v>561.47333333325923</v>
      </c>
      <c r="Y161" s="70"/>
      <c r="Z161" s="126">
        <f t="shared" ca="1" si="845"/>
        <v>724.36333333327332</v>
      </c>
      <c r="AA161" s="126"/>
      <c r="AB161" s="97">
        <f t="shared" ca="1" si="846"/>
        <v>595.13000000000602</v>
      </c>
      <c r="AC161" s="97">
        <f t="shared" ca="1" si="847"/>
        <v>2897.4533333330933</v>
      </c>
      <c r="AD161" s="151">
        <f t="shared" ca="1" si="848"/>
        <v>1348.7799999996801</v>
      </c>
      <c r="AE161" s="188">
        <f t="shared" ca="1" si="849"/>
        <v>129.2333333332673</v>
      </c>
      <c r="AF161" s="70"/>
      <c r="AG161" s="126">
        <f t="shared" ca="1" si="850"/>
        <v>724.36333333327332</v>
      </c>
      <c r="AH161" s="126"/>
      <c r="AI161" s="97">
        <f t="shared" ca="1" si="851"/>
        <v>2626.75</v>
      </c>
      <c r="AJ161" s="97">
        <f t="shared" ca="1" si="852"/>
        <v>3621.8166666663665</v>
      </c>
      <c r="AK161" s="151">
        <f t="shared" ca="1" si="853"/>
        <v>3975.5299999996801</v>
      </c>
      <c r="AL161" s="188">
        <f t="shared" ca="1" si="854"/>
        <v>-1902.3866666667268</v>
      </c>
      <c r="AM161" s="70"/>
      <c r="AN161" s="126">
        <f t="shared" ca="1" si="855"/>
        <v>724.36333333327332</v>
      </c>
      <c r="AO161" s="126"/>
      <c r="AP161" s="97">
        <f t="shared" ca="1" si="856"/>
        <v>370.64999999996007</v>
      </c>
      <c r="AQ161" s="97">
        <f t="shared" ca="1" si="857"/>
        <v>4346.1799999996401</v>
      </c>
      <c r="AR161" s="151">
        <f t="shared" ca="1" si="858"/>
        <v>4346.1799999996401</v>
      </c>
      <c r="AS161" s="188">
        <f t="shared" ca="1" si="859"/>
        <v>353.71333333331324</v>
      </c>
      <c r="AT161" s="70"/>
      <c r="AU161" s="126">
        <f t="shared" ca="1" si="860"/>
        <v>724.36333333327332</v>
      </c>
      <c r="AV161" s="126"/>
      <c r="AW161" s="97">
        <f t="shared" ca="1" si="861"/>
        <v>2568.5800000000199</v>
      </c>
      <c r="AX161" s="126">
        <f t="shared" ca="1" si="862"/>
        <v>5070.5433333329138</v>
      </c>
      <c r="AY161" s="151">
        <f t="shared" ca="1" si="863"/>
        <v>6914.7599999996601</v>
      </c>
      <c r="AZ161" s="188">
        <f t="shared" ca="1" si="864"/>
        <v>-1844.2166666667467</v>
      </c>
      <c r="BA161" s="144"/>
      <c r="BB161" s="126">
        <f t="shared" ca="1" si="865"/>
        <v>724.36333333327332</v>
      </c>
      <c r="BC161" s="126"/>
      <c r="BD161" s="97">
        <f t="shared" ca="1" si="866"/>
        <v>447.04999999999018</v>
      </c>
      <c r="BE161" s="97">
        <f t="shared" ca="1" si="867"/>
        <v>5794.9066666661874</v>
      </c>
      <c r="BF161" s="151">
        <f t="shared" ca="1" si="868"/>
        <v>7361.8099999996502</v>
      </c>
      <c r="BG161" s="188">
        <f t="shared" ca="1" si="869"/>
        <v>277.31333333328314</v>
      </c>
      <c r="BH161" s="144"/>
      <c r="BI161" s="126">
        <f t="shared" ca="1" si="870"/>
        <v>724.36333333327332</v>
      </c>
      <c r="BJ161" s="126"/>
      <c r="BK161" s="97">
        <f t="shared" ca="1" si="871"/>
        <v>0</v>
      </c>
      <c r="BL161" s="97">
        <f t="shared" ca="1" si="872"/>
        <v>6519.2699999994611</v>
      </c>
      <c r="BM161" s="151">
        <f t="shared" ca="1" si="873"/>
        <v>0</v>
      </c>
      <c r="BN161" s="188">
        <f t="shared" ca="1" si="874"/>
        <v>724.36333333327332</v>
      </c>
      <c r="BO161" s="144"/>
      <c r="BP161" s="126">
        <f t="shared" ca="1" si="875"/>
        <v>724.36333333327332</v>
      </c>
      <c r="BQ161" s="126"/>
      <c r="BR161" s="97">
        <f t="shared" ca="1" si="876"/>
        <v>0</v>
      </c>
      <c r="BS161" s="97">
        <f t="shared" ca="1" si="877"/>
        <v>7243.6333333327348</v>
      </c>
      <c r="BT161" s="151">
        <f t="shared" ca="1" si="878"/>
        <v>0</v>
      </c>
      <c r="BU161" s="188">
        <f t="shared" ca="1" si="879"/>
        <v>724.36333333327332</v>
      </c>
      <c r="BV161" s="144"/>
      <c r="BW161" s="126">
        <f t="shared" ca="1" si="880"/>
        <v>724.36333333327332</v>
      </c>
      <c r="BX161" s="126"/>
      <c r="BY161" s="97">
        <f t="shared" ca="1" si="881"/>
        <v>0</v>
      </c>
      <c r="BZ161" s="97">
        <f t="shared" ca="1" si="882"/>
        <v>7967.9966666660084</v>
      </c>
      <c r="CA161" s="151">
        <f t="shared" ca="1" si="883"/>
        <v>0</v>
      </c>
      <c r="CB161" s="188">
        <f t="shared" ca="1" si="884"/>
        <v>724.36333333327332</v>
      </c>
      <c r="CC161" s="144"/>
      <c r="CD161" s="126">
        <f t="shared" ca="1" si="885"/>
        <v>724.36333333327332</v>
      </c>
      <c r="CE161" s="126"/>
      <c r="CF161" s="97">
        <f t="shared" ca="1" si="886"/>
        <v>0</v>
      </c>
      <c r="CG161" s="97">
        <f t="shared" ca="1" si="887"/>
        <v>8692.3599999992821</v>
      </c>
      <c r="CH161" s="151">
        <f t="shared" ca="1" si="888"/>
        <v>0</v>
      </c>
      <c r="CI161" s="188">
        <f t="shared" ca="1" si="889"/>
        <v>724.36333333327332</v>
      </c>
      <c r="CJ161" s="5"/>
      <c r="CK161" s="5"/>
      <c r="CL161" s="5"/>
    </row>
    <row r="162" spans="1:90" ht="6.95" customHeight="1" thickBot="1">
      <c r="E162" s="102"/>
      <c r="F162" s="102"/>
      <c r="G162" s="73"/>
      <c r="H162" s="102"/>
      <c r="I162" s="102"/>
      <c r="J162" s="70"/>
      <c r="K162" s="70"/>
      <c r="L162" s="102"/>
      <c r="M162" s="102"/>
      <c r="N162" s="73"/>
      <c r="O162" s="102"/>
      <c r="P162" s="102"/>
      <c r="Q162" s="70"/>
      <c r="R162" s="70"/>
      <c r="S162" s="102"/>
      <c r="T162" s="102"/>
      <c r="U162" s="73"/>
      <c r="V162" s="102"/>
      <c r="W162" s="102"/>
      <c r="X162" s="70"/>
      <c r="Y162" s="70"/>
      <c r="Z162" s="102"/>
      <c r="AA162" s="102"/>
      <c r="AB162" s="73"/>
      <c r="AC162" s="102"/>
      <c r="AD162" s="102"/>
      <c r="AE162" s="70"/>
      <c r="AF162" s="70"/>
      <c r="AG162" s="102"/>
      <c r="AH162" s="102"/>
      <c r="AI162" s="73"/>
      <c r="AJ162" s="102"/>
      <c r="AK162" s="102"/>
      <c r="AL162" s="70"/>
      <c r="AM162" s="70"/>
      <c r="AN162" s="102"/>
      <c r="AO162" s="102"/>
      <c r="AP162" s="73"/>
      <c r="AQ162" s="102"/>
      <c r="AR162" s="102"/>
      <c r="AS162" s="70"/>
      <c r="AT162" s="70"/>
      <c r="AU162" s="102"/>
      <c r="AV162" s="102"/>
      <c r="AW162" s="149"/>
      <c r="AX162" s="167"/>
      <c r="AY162" s="167"/>
      <c r="AZ162" s="144"/>
      <c r="BA162" s="144"/>
      <c r="BB162" s="102"/>
      <c r="BC162" s="102"/>
      <c r="BD162" s="149"/>
      <c r="BE162" s="167"/>
      <c r="BF162" s="167"/>
      <c r="BG162" s="144"/>
      <c r="BH162" s="144"/>
      <c r="BI162" s="102"/>
      <c r="BJ162" s="102"/>
      <c r="BK162" s="149"/>
      <c r="BL162" s="167"/>
      <c r="BM162" s="167"/>
      <c r="BN162" s="144"/>
      <c r="BO162" s="144"/>
      <c r="BP162" s="102"/>
      <c r="BQ162" s="102"/>
      <c r="BR162" s="149"/>
      <c r="BS162" s="167"/>
      <c r="BT162" s="167"/>
      <c r="BU162" s="144"/>
      <c r="BV162" s="144"/>
      <c r="BW162" s="102"/>
      <c r="BX162" s="102"/>
      <c r="BY162" s="149"/>
      <c r="BZ162" s="167"/>
      <c r="CA162" s="167"/>
      <c r="CB162" s="144"/>
      <c r="CC162" s="144"/>
      <c r="CD162" s="102"/>
      <c r="CE162" s="102"/>
      <c r="CF162" s="149"/>
      <c r="CG162" s="167"/>
      <c r="CH162" s="167"/>
      <c r="CI162" s="144"/>
      <c r="CJ162" s="85"/>
      <c r="CK162" s="85"/>
      <c r="CL162" s="85"/>
    </row>
    <row r="163" spans="1:90" s="6" customFormat="1">
      <c r="A163" s="253" t="s">
        <v>0</v>
      </c>
      <c r="B163" s="253"/>
      <c r="C163" s="211">
        <f ca="1">SUM(C165:C168)</f>
        <v>15445086.16</v>
      </c>
      <c r="D163" s="73"/>
      <c r="E163" s="235">
        <f ca="1">SUM(E165:E168)</f>
        <v>1287090.5133333334</v>
      </c>
      <c r="F163" s="235"/>
      <c r="G163" s="196">
        <f ca="1">SUM(G165:G168)</f>
        <v>679457.55999999994</v>
      </c>
      <c r="H163" s="196">
        <f ca="1">SUM(H165:H168)</f>
        <v>1287090.5133333334</v>
      </c>
      <c r="I163" s="196">
        <f ca="1">SUM(I165:I168)</f>
        <v>679457.55999999994</v>
      </c>
      <c r="J163" s="196">
        <f ca="1">SUM(J165:J168)</f>
        <v>-607632.95333333337</v>
      </c>
      <c r="K163" s="72"/>
      <c r="L163" s="235">
        <f ca="1">SUM(L165:L168)</f>
        <v>1287090.5133333334</v>
      </c>
      <c r="M163" s="235"/>
      <c r="N163" s="196">
        <f ca="1">SUM(N165:N168)</f>
        <v>718587.98</v>
      </c>
      <c r="O163" s="196">
        <f ca="1">SUM(O165:O168)</f>
        <v>2574181.0266666668</v>
      </c>
      <c r="P163" s="196">
        <f ca="1">SUM(P165:P168)</f>
        <v>1398045.5399999998</v>
      </c>
      <c r="Q163" s="196">
        <f ca="1">SUM(Q165:Q168)</f>
        <v>568502.53333333344</v>
      </c>
      <c r="R163" s="72"/>
      <c r="S163" s="235">
        <f ca="1">SUM(S165:S168)</f>
        <v>1287090.5133333334</v>
      </c>
      <c r="T163" s="235"/>
      <c r="U163" s="196">
        <f ca="1">SUM(U165:U168)</f>
        <v>760752.19000000006</v>
      </c>
      <c r="V163" s="196">
        <f ca="1">SUM(V165:V168)</f>
        <v>3861271.54</v>
      </c>
      <c r="W163" s="196">
        <f ca="1">SUM(W165:W168)</f>
        <v>2158797.7299999995</v>
      </c>
      <c r="X163" s="196">
        <f ca="1">SUM(X165:X168)</f>
        <v>526338.32333333348</v>
      </c>
      <c r="Y163" s="72"/>
      <c r="Z163" s="235">
        <f ca="1">SUM(Z165:Z168)</f>
        <v>1287090.5133333334</v>
      </c>
      <c r="AA163" s="235"/>
      <c r="AB163" s="196">
        <f ca="1">SUM(AB165:AB168)</f>
        <v>3615277.94</v>
      </c>
      <c r="AC163" s="196">
        <f ca="1">SUM(AC165:AC168)</f>
        <v>5148362.0533333337</v>
      </c>
      <c r="AD163" s="196">
        <f ca="1">SUM(AD165:AD168)</f>
        <v>5774075.6699999999</v>
      </c>
      <c r="AE163" s="196">
        <f ca="1">SUM(AE165:AE168)</f>
        <v>-2328187.4266666668</v>
      </c>
      <c r="AF163" s="72"/>
      <c r="AG163" s="235">
        <f ca="1">SUM(AG165:AG168)</f>
        <v>1287090.5133333334</v>
      </c>
      <c r="AH163" s="235"/>
      <c r="AI163" s="196">
        <f ca="1">SUM(AI165:AI168)</f>
        <v>830628.11000000138</v>
      </c>
      <c r="AJ163" s="196">
        <f ca="1">SUM(AJ165:AJ168)</f>
        <v>6435452.5666666664</v>
      </c>
      <c r="AK163" s="196">
        <f ca="1">SUM(AK165:AK168)</f>
        <v>6604703.7800000012</v>
      </c>
      <c r="AL163" s="196">
        <f ca="1">SUM(AL165:AL168)</f>
        <v>456462.40333333204</v>
      </c>
      <c r="AM163" s="72"/>
      <c r="AN163" s="235">
        <f ca="1">SUM(AN165:AN168)</f>
        <v>1287090.5133333334</v>
      </c>
      <c r="AO163" s="235"/>
      <c r="AP163" s="196">
        <f ca="1">SUM(AP165:AP168)</f>
        <v>1117839.2999999989</v>
      </c>
      <c r="AQ163" s="196">
        <f ca="1">SUM(AQ165:AQ168)</f>
        <v>7722543.0800000001</v>
      </c>
      <c r="AR163" s="196">
        <f ca="1">SUM(AR165:AR168)</f>
        <v>7722543.0800000001</v>
      </c>
      <c r="AS163" s="196">
        <f ca="1">SUM(AS165:AS168)</f>
        <v>169251.21333333442</v>
      </c>
      <c r="AT163" s="72"/>
      <c r="AU163" s="235">
        <f ca="1">SUM(AU165:AU168)</f>
        <v>1287090.5133333334</v>
      </c>
      <c r="AV163" s="235"/>
      <c r="AW163" s="161">
        <f ca="1">SUM(AW165:AW168)</f>
        <v>1112751.7300000004</v>
      </c>
      <c r="AX163" s="161">
        <f ca="1">SUM(AX165:AX168)</f>
        <v>9009633.5933333337</v>
      </c>
      <c r="AY163" s="161">
        <f ca="1">SUM(AY164:AY168)</f>
        <v>14870004.23</v>
      </c>
      <c r="AZ163" s="161">
        <f ca="1">SUM(AZ165:AZ168)</f>
        <v>174338.78333333309</v>
      </c>
      <c r="BA163" s="149"/>
      <c r="BB163" s="235">
        <f ca="1">SUM(BB165:BB168)</f>
        <v>1287090.5133333334</v>
      </c>
      <c r="BC163" s="235"/>
      <c r="BD163" s="161">
        <f ca="1">SUM(BD165:BD168)</f>
        <v>1615116.4499999993</v>
      </c>
      <c r="BE163" s="161">
        <f ca="1">SUM(BE165:BE168)</f>
        <v>10296724.106666666</v>
      </c>
      <c r="BF163" s="161">
        <f ca="1">SUM(BF164:BF168)</f>
        <v>16485120.68</v>
      </c>
      <c r="BG163" s="195">
        <f ca="1">SUM(BG165:BG168)</f>
        <v>-328025.93666666589</v>
      </c>
      <c r="BH163" s="149"/>
      <c r="BI163" s="242">
        <f ca="1">SUM(BI165:BI168)</f>
        <v>1287090.5133333334</v>
      </c>
      <c r="BJ163" s="243"/>
      <c r="BK163" s="165">
        <f ca="1">SUM(BK165:BK168)</f>
        <v>0</v>
      </c>
      <c r="BL163" s="165">
        <f ca="1">SUM(BL165:BL168)</f>
        <v>11583814.620000001</v>
      </c>
      <c r="BM163" s="165">
        <f ca="1">SUM(BM164:BM168)</f>
        <v>0</v>
      </c>
      <c r="BN163" s="166">
        <f ca="1">SUM(BN165:BN168)</f>
        <v>1287090.5133333334</v>
      </c>
      <c r="BO163" s="149"/>
      <c r="BP163" s="242">
        <f ca="1">SUM(BP165:BP168)</f>
        <v>1287090.5133333334</v>
      </c>
      <c r="BQ163" s="243"/>
      <c r="BR163" s="165">
        <f ca="1">SUM(BR165:BR168)</f>
        <v>0</v>
      </c>
      <c r="BS163" s="165">
        <f ca="1">SUM(BS165:BS168)</f>
        <v>12870905.133333335</v>
      </c>
      <c r="BT163" s="165">
        <f ca="1">SUM(BT164:BT168)</f>
        <v>0</v>
      </c>
      <c r="BU163" s="166">
        <f ca="1">SUM(BU165:BU168)</f>
        <v>1287090.5133333334</v>
      </c>
      <c r="BV163" s="149"/>
      <c r="BW163" s="235">
        <f ca="1">SUM(BW165:BW168)</f>
        <v>1287090.5133333334</v>
      </c>
      <c r="BX163" s="235"/>
      <c r="BY163" s="161">
        <f ca="1">SUM(BY165:BY168)</f>
        <v>0</v>
      </c>
      <c r="BZ163" s="161">
        <f ca="1">SUM(BZ165:BZ168)</f>
        <v>14157995.646666668</v>
      </c>
      <c r="CA163" s="161">
        <f ca="1">SUM(CA164:CA168)</f>
        <v>0</v>
      </c>
      <c r="CB163" s="195">
        <f ca="1">SUM(CB165:CB168)</f>
        <v>1287090.5133333334</v>
      </c>
      <c r="CC163" s="149"/>
      <c r="CD163" s="235">
        <f ca="1">SUM(CD165:CD168)</f>
        <v>1287090.5133333334</v>
      </c>
      <c r="CE163" s="235"/>
      <c r="CF163" s="161">
        <f ca="1">SUM(CF165:CF168)</f>
        <v>0</v>
      </c>
      <c r="CG163" s="161">
        <f ca="1">SUM(CG164:CG168)</f>
        <v>24041430.120000005</v>
      </c>
      <c r="CH163" s="161">
        <f ca="1">SUM(CH164:CH168)</f>
        <v>0</v>
      </c>
      <c r="CI163" s="195">
        <f ca="1">SUM(CI165:CI168)</f>
        <v>1287090.5133333334</v>
      </c>
      <c r="CJ163" s="5"/>
      <c r="CK163" s="5"/>
      <c r="CL163" s="5"/>
    </row>
    <row r="164" spans="1:90" s="6" customFormat="1">
      <c r="A164" s="133" t="s">
        <v>423</v>
      </c>
      <c r="B164" s="63">
        <v>53050501</v>
      </c>
      <c r="C164" s="134">
        <f t="shared" ref="C164:C169" ca="1" si="1013">IFERROR(IFERROR(VLOOKUP(TEXT($B164,0),INDIRECT("'Balance a "&amp;LEFT(AN$1,3)&amp;"'!$B$3:$G$300"),6,0),VLOOKUP(VALUE($B164),INDIRECT("'Balance a "&amp;LEFT(AN$1,3)&amp;"'!$B$3:$G$300"),6,0)),0)*2</f>
        <v>8596343.9600000009</v>
      </c>
      <c r="D164" s="78"/>
      <c r="E164" s="126">
        <f ca="1">$C164/COUNTA(E$1:$CI$1)</f>
        <v>716361.9966666667</v>
      </c>
      <c r="F164" s="126"/>
      <c r="G164" s="104">
        <f t="shared" ref="G164:G169" ca="1" si="1014">IFERROR(I164,0)</f>
        <v>293788.88</v>
      </c>
      <c r="H164" s="98">
        <f t="shared" ref="H164:H169" ca="1" si="1015">IFERROR(E164,0)</f>
        <v>716361.9966666667</v>
      </c>
      <c r="I164" s="57">
        <f t="shared" ref="I164:I169" ca="1" si="1016">IFERROR(IFERROR(VLOOKUP(TEXT($B164,0),INDIRECT("'Balance a "&amp;LEFT(E$1,3)&amp;"'!$B$3:$G$300"),4,0),VLOOKUP(VALUE($B164),INDIRECT("'Balance a "&amp;LEFT(E$1,3)&amp;"'!$B$3:$G$300"),4,0)),0)</f>
        <v>293788.88</v>
      </c>
      <c r="J164" s="188">
        <f t="shared" ref="J164:J169" ca="1" si="1017">IFERROR(G164-E164,0)</f>
        <v>-422573.1166666667</v>
      </c>
      <c r="K164" s="70"/>
      <c r="L164" s="126">
        <f t="shared" ref="L164:L169" ca="1" si="1018">E164+F164</f>
        <v>716361.9966666667</v>
      </c>
      <c r="M164" s="126"/>
      <c r="N164" s="97">
        <f t="shared" ref="N164:N169" ca="1" si="1019">IFERROR(P164-I164,0)</f>
        <v>317417.77</v>
      </c>
      <c r="O164" s="98">
        <f t="shared" ref="O164:O169" ca="1" si="1020">SUM(E164:F164,L164:M164)</f>
        <v>1432723.9933333334</v>
      </c>
      <c r="P164" s="151">
        <f t="shared" ref="P164:P169" ca="1" si="1021">IFERROR(IFERROR(VLOOKUP(TEXT($B164,0),INDIRECT("'Balance a "&amp;LEFT(L$1,3)&amp;"'!$B$3:$G$300"),6,0),VLOOKUP(VALUE($B164),INDIRECT("'Balance a "&amp;LEFT(L$1,3)&amp;"'!$B$3:$G$300"),6,0)),0)</f>
        <v>611206.65</v>
      </c>
      <c r="Q164" s="188">
        <f t="shared" ref="Q164:Q169" ca="1" si="1022">IFERROR(SUM(L164:M164)-N164,0)</f>
        <v>398944.22666666668</v>
      </c>
      <c r="R164" s="70"/>
      <c r="S164" s="126">
        <f t="shared" ref="S164:S169" ca="1" si="1023">L164+M164</f>
        <v>716361.9966666667</v>
      </c>
      <c r="T164" s="126"/>
      <c r="U164" s="97">
        <f t="shared" ref="U164:U169" ca="1" si="1024">IFERROR(W164-P164,0)</f>
        <v>307566.66000000003</v>
      </c>
      <c r="V164" s="97">
        <f ca="1">SUM(E164:F164,L164:M164,S164:T164)</f>
        <v>2149085.9900000002</v>
      </c>
      <c r="W164" s="151">
        <f t="shared" ref="W164:W169" ca="1" si="1025">IFERROR(IFERROR(VLOOKUP(TEXT($B164,0),INDIRECT("'Balance a "&amp;LEFT(S$1,3)&amp;"'!$B$3:$G$300"),6,0),VLOOKUP(VALUE($B164),INDIRECT("'Balance a "&amp;LEFT(S$1,3)&amp;"'!$B$3:$G$300"),6,0)),0)</f>
        <v>918773.31</v>
      </c>
      <c r="X164" s="188">
        <f t="shared" ref="X164:X169" ca="1" si="1026">IFERROR(SUM(S164:T164)-U164,0)</f>
        <v>408795.33666666667</v>
      </c>
      <c r="Y164" s="70"/>
      <c r="Z164" s="126">
        <f t="shared" ref="Z164:Z169" ca="1" si="1027">S164+T164</f>
        <v>716361.9966666667</v>
      </c>
      <c r="AA164" s="126"/>
      <c r="AB164" s="97">
        <f t="shared" ref="AB164:AB169" ca="1" si="1028">IFERROR(AD164-W164,0)</f>
        <v>385986.23</v>
      </c>
      <c r="AC164" s="97">
        <f t="shared" ref="AC164:AC169" ca="1" si="1029">SUM(E164:F164,L164:M164,S164:T164,Z164:AA164)</f>
        <v>2865447.9866666668</v>
      </c>
      <c r="AD164" s="151">
        <f t="shared" ref="AD164:AD169" ca="1" si="1030">IFERROR(IFERROR(VLOOKUP(TEXT($B164,0),INDIRECT("'Balance a "&amp;LEFT(Z$1,3)&amp;"'!$B$3:$G$300"),6,0),VLOOKUP(VALUE($B164),INDIRECT("'Balance a "&amp;LEFT(Z$1,3)&amp;"'!$B$3:$G$300"),6,0)),0)</f>
        <v>1304759.54</v>
      </c>
      <c r="AE164" s="188">
        <f t="shared" ref="AE164:AE169" ca="1" si="1031">IFERROR(SUM(Z164:AA164)-AB164,0)</f>
        <v>330375.76666666672</v>
      </c>
      <c r="AF164" s="70"/>
      <c r="AG164" s="126">
        <f t="shared" ref="AG164:AG169" ca="1" si="1032">Z164+AA164</f>
        <v>716361.9966666667</v>
      </c>
      <c r="AH164" s="126"/>
      <c r="AI164" s="97">
        <f t="shared" ref="AI164:AI169" ca="1" si="1033">IFERROR(AK164-AD164,0)</f>
        <v>1858294.44</v>
      </c>
      <c r="AJ164" s="97">
        <f t="shared" ref="AJ164:AJ169" ca="1" si="1034">SUM(E164:F164,L164:M164,S164:T164,Z164:AA164,AG164:AH164)</f>
        <v>3581809.9833333334</v>
      </c>
      <c r="AK164" s="151">
        <f t="shared" ref="AK164:AK169" ca="1" si="1035">IFERROR(IFERROR(VLOOKUP(TEXT($B164,0),INDIRECT("'Balance a "&amp;LEFT(AG$1,3)&amp;"'!$B$3:$G$300"),6,0),VLOOKUP(VALUE($B164),INDIRECT("'Balance a "&amp;LEFT(AG$1,3)&amp;"'!$B$3:$G$300"),6,0)),0)</f>
        <v>3163053.98</v>
      </c>
      <c r="AL164" s="188">
        <f t="shared" ref="AL164:AL169" ca="1" si="1036">IFERROR(SUM(AG164:AH164)-AI164,0)</f>
        <v>-1141932.4433333334</v>
      </c>
      <c r="AM164" s="70"/>
      <c r="AN164" s="126">
        <f t="shared" ref="AN164:AN169" ca="1" si="1037">AG164+AH164</f>
        <v>716361.9966666667</v>
      </c>
      <c r="AO164" s="126"/>
      <c r="AP164" s="97">
        <f t="shared" ref="AP164:AP169" ca="1" si="1038">IFERROR(AR164-AK164,0)</f>
        <v>1135118.0000000005</v>
      </c>
      <c r="AQ164" s="97">
        <f t="shared" ref="AQ164:AQ169" ca="1" si="1039">SUM(E164:F164,L164:M164,S164:T164,Z164:AA164,AG164:AH164,AN164:AO164)</f>
        <v>4298171.9800000004</v>
      </c>
      <c r="AR164" s="151">
        <f t="shared" ref="AR164:AR169" ca="1" si="1040">IFERROR(IFERROR(VLOOKUP(TEXT($B164,0),INDIRECT("'Balance a "&amp;LEFT(AN$1,3)&amp;"'!$B$3:$G$300"),6,0),VLOOKUP(VALUE($B164),INDIRECT("'Balance a "&amp;LEFT(AN$1,3)&amp;"'!$B$3:$G$300"),6,0)),0)</f>
        <v>4298171.9800000004</v>
      </c>
      <c r="AS164" s="188">
        <f t="shared" ref="AS164:AS169" ca="1" si="1041">IFERROR(SUM(AN164:AO164)-AP164,0)</f>
        <v>-418756.00333333376</v>
      </c>
      <c r="AT164" s="70"/>
      <c r="AU164" s="126">
        <f t="shared" ref="AU164:AU169" ca="1" si="1042">AN164+AO164</f>
        <v>716361.9966666667</v>
      </c>
      <c r="AV164" s="126"/>
      <c r="AW164" s="97">
        <f t="shared" ref="AW164:AW169" ca="1" si="1043">IFERROR(AY164-AR164,0)</f>
        <v>1736537.4399999995</v>
      </c>
      <c r="AX164" s="126">
        <f t="shared" ref="AX164:AX169" ca="1" si="1044">SUM(E164:F164,L164:M164,S164:T164,Z164:AA164,AG164:AH164,AN164:AO164,AU164:AV164)</f>
        <v>5014533.9766666675</v>
      </c>
      <c r="AY164" s="151">
        <f t="shared" ref="AY164:AY169" ca="1" si="1045">IFERROR(IFERROR(VLOOKUP(TEXT($B164,0),INDIRECT("'Balance a "&amp;LEFT(AU$1,3)&amp;"'!$B$3:$G$300"),6,0),VLOOKUP(VALUE($B164),INDIRECT("'Balance a "&amp;LEFT(AU$1,3)&amp;"'!$B$3:$G$300"),6,0)),0)</f>
        <v>6034709.4199999999</v>
      </c>
      <c r="AZ164" s="188">
        <f t="shared" ref="AZ164:AZ169" ca="1" si="1046">IFERROR(SUM(AU164:AV164)-AW164,0)</f>
        <v>-1020175.4433333328</v>
      </c>
      <c r="BA164" s="144"/>
      <c r="BB164" s="126">
        <f t="shared" ref="BB164:BB169" ca="1" si="1047">AU164+AV164</f>
        <v>716361.9966666667</v>
      </c>
      <c r="BC164" s="126"/>
      <c r="BD164" s="97">
        <f t="shared" ref="BD164:BD169" ca="1" si="1048">IFERROR(BF164-AY164,0)</f>
        <v>0</v>
      </c>
      <c r="BE164" s="97">
        <f t="shared" ref="BE164:BE169" ca="1" si="1049">SUM(E164:F164,L164:M164,S164:T164,Z164:AA164,AG164:AH164,AN164:AO164,AU164:AV164,BB164:BC164)</f>
        <v>5730895.9733333346</v>
      </c>
      <c r="BF164" s="151">
        <f t="shared" ref="BF164:BF169" ca="1" si="1050">IFERROR(IFERROR(VLOOKUP(TEXT($B164,0),INDIRECT("'Balance a "&amp;LEFT(BB$1,3)&amp;"'!$B$3:$G$300"),6,0),VLOOKUP(VALUE($B164),INDIRECT("'Balance a "&amp;LEFT(BB$1,3)&amp;"'!$B$3:$G$300"),6,0)),0)</f>
        <v>6034709.4199999999</v>
      </c>
      <c r="BG164" s="188">
        <f t="shared" ref="BG164:BG169" ca="1" si="1051">IFERROR(SUM(BB164:BC164)-BD164,0)</f>
        <v>716361.9966666667</v>
      </c>
      <c r="BH164" s="144"/>
      <c r="BI164" s="126">
        <f t="shared" ref="BI164:BI169" ca="1" si="1052">BB164+BC164</f>
        <v>716361.9966666667</v>
      </c>
      <c r="BJ164" s="126"/>
      <c r="BK164" s="97">
        <f t="shared" ref="BK164:BK169" ca="1" si="1053">IFERROR(IF(BM164=0,0,BM164-BF164),0)</f>
        <v>0</v>
      </c>
      <c r="BL164" s="97">
        <f t="shared" ref="BL164:BL169" ca="1" si="1054">SUM(E164:F164,L164:M164,S164:T164,Z164:AA164,AG164:AH164,AN164:AO164,AU164:AV164,BB164:BC164,BI164:BJ164)</f>
        <v>6447257.9700000016</v>
      </c>
      <c r="BM164" s="151">
        <f t="shared" ref="BM164:BM169" ca="1" si="1055">IFERROR(IFERROR(VLOOKUP(TEXT($B164,0),INDIRECT("'Balance a "&amp;LEFT(BI$1,3)&amp;"'!$B$3:$G$300"),6,0),VLOOKUP(VALUE($B164),INDIRECT("'Balance a "&amp;LEFT(BI$1,3)&amp;"'!$B$3:$G$300"),6,0)),0)</f>
        <v>0</v>
      </c>
      <c r="BN164" s="188">
        <f t="shared" ref="BN164:BN169" ca="1" si="1056">IFERROR(SUM(BI164:BJ164)-BK164,0)</f>
        <v>716361.9966666667</v>
      </c>
      <c r="BO164" s="144"/>
      <c r="BP164" s="126">
        <f t="shared" ref="BP164:BP169" ca="1" si="1057">BI164+BJ164</f>
        <v>716361.9966666667</v>
      </c>
      <c r="BQ164" s="126"/>
      <c r="BR164" s="97">
        <f t="shared" ref="BR164:BR169" ca="1" si="1058">IFERROR(BT164-BM164,0)</f>
        <v>0</v>
      </c>
      <c r="BS164" s="97">
        <f t="shared" ref="BS164:BS169" ca="1" si="1059">SUM(E164:F164,L164:M164,S164:T164,Z164:AA164,AG164:AH164,AN164:AO164,AU164:AV164,BB164:BC164,BI164:BJ164,BP164:BQ164)</f>
        <v>7163619.9666666687</v>
      </c>
      <c r="BT164" s="151">
        <f t="shared" ref="BT164:BT169" ca="1" si="1060">IFERROR(IFERROR(VLOOKUP(TEXT($B164,0),INDIRECT("'Balance a "&amp;LEFT(BP$1,3)&amp;"'!$B$3:$G$300"),6,0),VLOOKUP(VALUE($B164),INDIRECT("'Balance a "&amp;LEFT(BP$1,3)&amp;"'!$B$3:$G$300"),6,0)),0)</f>
        <v>0</v>
      </c>
      <c r="BU164" s="188">
        <f t="shared" ref="BU164:BU169" ca="1" si="1061">IFERROR(SUM(BP164:BQ164)-BR164,0)</f>
        <v>716361.9966666667</v>
      </c>
      <c r="BV164" s="144"/>
      <c r="BW164" s="126">
        <f t="shared" ref="BW164:BW169" ca="1" si="1062">BP164+BQ164</f>
        <v>716361.9966666667</v>
      </c>
      <c r="BX164" s="126"/>
      <c r="BY164" s="97">
        <f t="shared" ref="BY164:BY169" ca="1" si="1063">IFERROR(CA164-BT164,0)</f>
        <v>0</v>
      </c>
      <c r="BZ164" s="97">
        <f t="shared" ref="BZ164:BZ169" ca="1" si="1064">SUM(E164:F164,L164:M164,S164:T164,Z164:AA164,AG164:AH164,AN164:AO164,AU164:AV164,BB164:BC164,BI164:BJ164,BP164:BQ164,BW164:BX164)</f>
        <v>7879981.9633333357</v>
      </c>
      <c r="CA164" s="151">
        <f t="shared" ref="CA164:CA169" ca="1" si="1065">IFERROR(IFERROR(VLOOKUP(TEXT($B164,0),INDIRECT("'Balance a "&amp;LEFT(BW$1,3)&amp;"'!$B$3:$G$300"),6,0),VLOOKUP(VALUE($B164),INDIRECT("'Balance a "&amp;LEFT(BW$1,3)&amp;"'!$B$3:$G$300"),6,0)),0)</f>
        <v>0</v>
      </c>
      <c r="CB164" s="188">
        <f t="shared" ref="CB164:CB169" ca="1" si="1066">IFERROR(SUM(BW164:BX164)-BY164,0)</f>
        <v>716361.9966666667</v>
      </c>
      <c r="CC164" s="144"/>
      <c r="CD164" s="126">
        <f t="shared" ref="CD164:CD169" ca="1" si="1067">BW164+BX164</f>
        <v>716361.9966666667</v>
      </c>
      <c r="CE164" s="126"/>
      <c r="CF164" s="97">
        <f t="shared" ref="CF164:CF169" ca="1" si="1068">IFERROR(CH164-CA164,0)</f>
        <v>0</v>
      </c>
      <c r="CG164" s="97">
        <f t="shared" ref="CG164:CG169" ca="1" si="1069">SUM(E164:F164,L164:M164,S164:T164,Z164:AA164,AG164:AH164,AN164:AO164,AU164:AV164,BB164:BC164,BI164:BJ164,BP164:BQ164,BW164:BX164,CD164:CE164)</f>
        <v>8596343.9600000028</v>
      </c>
      <c r="CH164" s="151">
        <f t="shared" ref="CH164:CH169" ca="1" si="1070">IFERROR(IFERROR(VLOOKUP(TEXT($B164,0),INDIRECT("'Balance a "&amp;LEFT(CD$1,3)&amp;"'!$B$3:$G$300"),6,0),VLOOKUP(VALUE($B164),INDIRECT("'Balance a "&amp;LEFT(CD$1,3)&amp;"'!$B$3:$G$300"),6,0)),0)</f>
        <v>0</v>
      </c>
      <c r="CI164" s="188">
        <f t="shared" ref="CI164:CI169" ca="1" si="1071">IFERROR(SUM(CD164:CE164)-CF164,0)</f>
        <v>716361.9966666667</v>
      </c>
      <c r="CJ164" s="5"/>
      <c r="CK164" s="5"/>
      <c r="CL164" s="5"/>
    </row>
    <row r="165" spans="1:90" s="6" customFormat="1" ht="17.25" customHeight="1">
      <c r="A165" s="133" t="s">
        <v>178</v>
      </c>
      <c r="B165" s="63">
        <v>53051501</v>
      </c>
      <c r="C165" s="134">
        <f t="shared" ca="1" si="1013"/>
        <v>1291515.22</v>
      </c>
      <c r="D165" s="78"/>
      <c r="E165" s="126">
        <f ca="1">$C165/COUNTA(E$1:$CI$1)</f>
        <v>107626.26833333333</v>
      </c>
      <c r="F165" s="126"/>
      <c r="G165" s="104">
        <f t="shared" ca="1" si="1014"/>
        <v>100776.92</v>
      </c>
      <c r="H165" s="98">
        <f t="shared" ca="1" si="1015"/>
        <v>107626.26833333333</v>
      </c>
      <c r="I165" s="57">
        <f t="shared" ca="1" si="1016"/>
        <v>100776.92</v>
      </c>
      <c r="J165" s="188">
        <f t="shared" ca="1" si="1017"/>
        <v>-6849.3483333333279</v>
      </c>
      <c r="K165" s="70"/>
      <c r="L165" s="126">
        <f t="shared" ca="1" si="1018"/>
        <v>107626.26833333333</v>
      </c>
      <c r="M165" s="126"/>
      <c r="N165" s="97">
        <f t="shared" ca="1" si="1019"/>
        <v>108999.98</v>
      </c>
      <c r="O165" s="98">
        <f t="shared" ca="1" si="1020"/>
        <v>215252.53666666665</v>
      </c>
      <c r="P165" s="151">
        <f t="shared" ca="1" si="1021"/>
        <v>209776.9</v>
      </c>
      <c r="Q165" s="188">
        <f t="shared" ca="1" si="1022"/>
        <v>-1373.7116666666698</v>
      </c>
      <c r="R165" s="70"/>
      <c r="S165" s="126">
        <f t="shared" ca="1" si="1023"/>
        <v>107626.26833333333</v>
      </c>
      <c r="T165" s="126"/>
      <c r="U165" s="97">
        <f t="shared" ca="1" si="1024"/>
        <v>101835.03</v>
      </c>
      <c r="V165" s="97">
        <f t="shared" ref="V165:V169" ca="1" si="1072">SUM(E165:F165,L165:M165,S165:T165)</f>
        <v>322878.80499999999</v>
      </c>
      <c r="W165" s="151">
        <f t="shared" ca="1" si="1025"/>
        <v>311611.93</v>
      </c>
      <c r="X165" s="188">
        <f t="shared" ca="1" si="1026"/>
        <v>5791.2383333333273</v>
      </c>
      <c r="Y165" s="70"/>
      <c r="Z165" s="126">
        <f t="shared" ca="1" si="1027"/>
        <v>107626.26833333333</v>
      </c>
      <c r="AA165" s="126"/>
      <c r="AB165" s="97">
        <f t="shared" ca="1" si="1028"/>
        <v>73467.94</v>
      </c>
      <c r="AC165" s="97">
        <f t="shared" ca="1" si="1029"/>
        <v>430505.0733333333</v>
      </c>
      <c r="AD165" s="151">
        <f t="shared" ca="1" si="1030"/>
        <v>385079.87</v>
      </c>
      <c r="AE165" s="188">
        <f t="shared" ca="1" si="1031"/>
        <v>34158.328333333324</v>
      </c>
      <c r="AF165" s="70"/>
      <c r="AG165" s="126">
        <f t="shared" ca="1" si="1032"/>
        <v>107626.26833333333</v>
      </c>
      <c r="AH165" s="126"/>
      <c r="AI165" s="97">
        <f t="shared" ca="1" si="1033"/>
        <v>168425.19000000099</v>
      </c>
      <c r="AJ165" s="97">
        <f t="shared" ca="1" si="1034"/>
        <v>538131.34166666667</v>
      </c>
      <c r="AK165" s="151">
        <f t="shared" ca="1" si="1035"/>
        <v>553505.06000000099</v>
      </c>
      <c r="AL165" s="188">
        <f t="shared" ca="1" si="1036"/>
        <v>-60798.921666667666</v>
      </c>
      <c r="AM165" s="70"/>
      <c r="AN165" s="126">
        <f t="shared" ca="1" si="1037"/>
        <v>107626.26833333333</v>
      </c>
      <c r="AO165" s="126"/>
      <c r="AP165" s="97">
        <f t="shared" ca="1" si="1038"/>
        <v>92252.549999998999</v>
      </c>
      <c r="AQ165" s="97">
        <f t="shared" ca="1" si="1039"/>
        <v>645757.61</v>
      </c>
      <c r="AR165" s="151">
        <f t="shared" ca="1" si="1040"/>
        <v>645757.61</v>
      </c>
      <c r="AS165" s="188">
        <f t="shared" ca="1" si="1041"/>
        <v>15373.718333334327</v>
      </c>
      <c r="AT165" s="70"/>
      <c r="AU165" s="126">
        <f t="shared" ca="1" si="1042"/>
        <v>107626.26833333333</v>
      </c>
      <c r="AV165" s="126"/>
      <c r="AW165" s="97">
        <f t="shared" ca="1" si="1043"/>
        <v>102595.39000000001</v>
      </c>
      <c r="AX165" s="126">
        <f t="shared" ca="1" si="1044"/>
        <v>753383.8783333333</v>
      </c>
      <c r="AY165" s="151">
        <f t="shared" ca="1" si="1045"/>
        <v>748353</v>
      </c>
      <c r="AZ165" s="188">
        <f t="shared" ca="1" si="1046"/>
        <v>5030.8783333333122</v>
      </c>
      <c r="BA165" s="144"/>
      <c r="BB165" s="126">
        <f t="shared" ca="1" si="1047"/>
        <v>107626.26833333333</v>
      </c>
      <c r="BC165" s="126"/>
      <c r="BD165" s="97">
        <f t="shared" ca="1" si="1048"/>
        <v>155269.20999999996</v>
      </c>
      <c r="BE165" s="97">
        <f t="shared" ca="1" si="1049"/>
        <v>861010.14666666661</v>
      </c>
      <c r="BF165" s="151">
        <f t="shared" ca="1" si="1050"/>
        <v>903622.21</v>
      </c>
      <c r="BG165" s="188">
        <f t="shared" ca="1" si="1051"/>
        <v>-47642.941666666637</v>
      </c>
      <c r="BH165" s="144"/>
      <c r="BI165" s="126">
        <f t="shared" ca="1" si="1052"/>
        <v>107626.26833333333</v>
      </c>
      <c r="BJ165" s="126"/>
      <c r="BK165" s="97">
        <f t="shared" ca="1" si="1053"/>
        <v>0</v>
      </c>
      <c r="BL165" s="97">
        <f t="shared" ca="1" si="1054"/>
        <v>968636.41499999992</v>
      </c>
      <c r="BM165" s="151">
        <f t="shared" ca="1" si="1055"/>
        <v>0</v>
      </c>
      <c r="BN165" s="188">
        <f t="shared" ca="1" si="1056"/>
        <v>107626.26833333333</v>
      </c>
      <c r="BO165" s="144"/>
      <c r="BP165" s="126">
        <f t="shared" ca="1" si="1057"/>
        <v>107626.26833333333</v>
      </c>
      <c r="BQ165" s="126"/>
      <c r="BR165" s="97">
        <f t="shared" ca="1" si="1058"/>
        <v>0</v>
      </c>
      <c r="BS165" s="97">
        <f t="shared" ca="1" si="1059"/>
        <v>1076262.6833333333</v>
      </c>
      <c r="BT165" s="151">
        <f t="shared" ca="1" si="1060"/>
        <v>0</v>
      </c>
      <c r="BU165" s="188">
        <f t="shared" ca="1" si="1061"/>
        <v>107626.26833333333</v>
      </c>
      <c r="BV165" s="144"/>
      <c r="BW165" s="126">
        <f t="shared" ca="1" si="1062"/>
        <v>107626.26833333333</v>
      </c>
      <c r="BX165" s="126"/>
      <c r="BY165" s="97">
        <f t="shared" ca="1" si="1063"/>
        <v>0</v>
      </c>
      <c r="BZ165" s="97">
        <f t="shared" ca="1" si="1064"/>
        <v>1183888.9516666667</v>
      </c>
      <c r="CA165" s="151">
        <f t="shared" ca="1" si="1065"/>
        <v>0</v>
      </c>
      <c r="CB165" s="188">
        <f t="shared" ca="1" si="1066"/>
        <v>107626.26833333333</v>
      </c>
      <c r="CC165" s="144"/>
      <c r="CD165" s="126">
        <f t="shared" ca="1" si="1067"/>
        <v>107626.26833333333</v>
      </c>
      <c r="CE165" s="126"/>
      <c r="CF165" s="97">
        <f t="shared" ca="1" si="1068"/>
        <v>0</v>
      </c>
      <c r="CG165" s="97">
        <f t="shared" ca="1" si="1069"/>
        <v>1291515.22</v>
      </c>
      <c r="CH165" s="151">
        <f t="shared" ca="1" si="1070"/>
        <v>0</v>
      </c>
      <c r="CI165" s="188">
        <f t="shared" ca="1" si="1071"/>
        <v>107626.26833333333</v>
      </c>
      <c r="CJ165" s="5"/>
      <c r="CK165" s="5"/>
      <c r="CL165" s="5"/>
    </row>
    <row r="166" spans="1:90" s="6" customFormat="1">
      <c r="A166" s="133" t="s">
        <v>179</v>
      </c>
      <c r="B166" s="63">
        <v>53051502</v>
      </c>
      <c r="C166" s="134">
        <f t="shared" ca="1" si="1013"/>
        <v>1058522</v>
      </c>
      <c r="D166" s="78"/>
      <c r="E166" s="126">
        <f ca="1">$C166/COUNTA(E$1:$CI$1)</f>
        <v>88210.166666666672</v>
      </c>
      <c r="F166" s="126"/>
      <c r="G166" s="104">
        <f t="shared" ca="1" si="1014"/>
        <v>78011</v>
      </c>
      <c r="H166" s="98">
        <f t="shared" ca="1" si="1015"/>
        <v>88210.166666666672</v>
      </c>
      <c r="I166" s="57">
        <f t="shared" ca="1" si="1016"/>
        <v>78011</v>
      </c>
      <c r="J166" s="188">
        <f t="shared" ca="1" si="1017"/>
        <v>-10199.166666666672</v>
      </c>
      <c r="K166" s="70"/>
      <c r="L166" s="126">
        <f t="shared" ca="1" si="1018"/>
        <v>88210.166666666672</v>
      </c>
      <c r="M166" s="126"/>
      <c r="N166" s="97">
        <f t="shared" ca="1" si="1019"/>
        <v>89590</v>
      </c>
      <c r="O166" s="98">
        <f t="shared" ca="1" si="1020"/>
        <v>176420.33333333334</v>
      </c>
      <c r="P166" s="151">
        <f t="shared" ca="1" si="1021"/>
        <v>167601</v>
      </c>
      <c r="Q166" s="188">
        <f t="shared" ca="1" si="1022"/>
        <v>-1379.8333333333285</v>
      </c>
      <c r="R166" s="70"/>
      <c r="S166" s="126">
        <f t="shared" ca="1" si="1023"/>
        <v>88210.166666666672</v>
      </c>
      <c r="T166" s="126"/>
      <c r="U166" s="97">
        <f t="shared" ca="1" si="1024"/>
        <v>89590</v>
      </c>
      <c r="V166" s="97">
        <f t="shared" ca="1" si="1072"/>
        <v>264630.5</v>
      </c>
      <c r="W166" s="151">
        <f t="shared" ca="1" si="1025"/>
        <v>257191</v>
      </c>
      <c r="X166" s="188">
        <f t="shared" ca="1" si="1026"/>
        <v>-1379.8333333333285</v>
      </c>
      <c r="Y166" s="70"/>
      <c r="Z166" s="126">
        <f t="shared" ca="1" si="1027"/>
        <v>88210.166666666672</v>
      </c>
      <c r="AA166" s="126"/>
      <c r="AB166" s="97">
        <f t="shared" ca="1" si="1028"/>
        <v>89590</v>
      </c>
      <c r="AC166" s="97">
        <f t="shared" ca="1" si="1029"/>
        <v>352840.66666666669</v>
      </c>
      <c r="AD166" s="151">
        <f t="shared" ca="1" si="1030"/>
        <v>346781</v>
      </c>
      <c r="AE166" s="188">
        <f t="shared" ca="1" si="1031"/>
        <v>-1379.8333333333285</v>
      </c>
      <c r="AF166" s="70"/>
      <c r="AG166" s="126">
        <f t="shared" ca="1" si="1032"/>
        <v>88210.166666666672</v>
      </c>
      <c r="AH166" s="126"/>
      <c r="AI166" s="97">
        <f t="shared" ca="1" si="1033"/>
        <v>89590</v>
      </c>
      <c r="AJ166" s="97">
        <f t="shared" ca="1" si="1034"/>
        <v>441050.83333333337</v>
      </c>
      <c r="AK166" s="151">
        <f t="shared" ca="1" si="1035"/>
        <v>436371</v>
      </c>
      <c r="AL166" s="188">
        <f t="shared" ca="1" si="1036"/>
        <v>-1379.8333333333285</v>
      </c>
      <c r="AM166" s="70"/>
      <c r="AN166" s="126">
        <f t="shared" ca="1" si="1037"/>
        <v>88210.166666666672</v>
      </c>
      <c r="AO166" s="126"/>
      <c r="AP166" s="97">
        <f t="shared" ca="1" si="1038"/>
        <v>92890</v>
      </c>
      <c r="AQ166" s="97">
        <f t="shared" ca="1" si="1039"/>
        <v>529261</v>
      </c>
      <c r="AR166" s="151">
        <f t="shared" ca="1" si="1040"/>
        <v>529261</v>
      </c>
      <c r="AS166" s="188">
        <f t="shared" ca="1" si="1041"/>
        <v>-4679.8333333333285</v>
      </c>
      <c r="AT166" s="70"/>
      <c r="AU166" s="126">
        <f t="shared" ca="1" si="1042"/>
        <v>88210.166666666672</v>
      </c>
      <c r="AV166" s="126"/>
      <c r="AW166" s="97">
        <f t="shared" ca="1" si="1043"/>
        <v>92890</v>
      </c>
      <c r="AX166" s="126">
        <f t="shared" ca="1" si="1044"/>
        <v>617471.16666666663</v>
      </c>
      <c r="AY166" s="151">
        <f t="shared" ca="1" si="1045"/>
        <v>622151</v>
      </c>
      <c r="AZ166" s="188">
        <f t="shared" ca="1" si="1046"/>
        <v>-4679.8333333333285</v>
      </c>
      <c r="BA166" s="144"/>
      <c r="BB166" s="126">
        <f t="shared" ca="1" si="1047"/>
        <v>88210.166666666672</v>
      </c>
      <c r="BC166" s="126"/>
      <c r="BD166" s="97">
        <f t="shared" ca="1" si="1048"/>
        <v>92890</v>
      </c>
      <c r="BE166" s="97">
        <f t="shared" ca="1" si="1049"/>
        <v>705681.33333333326</v>
      </c>
      <c r="BF166" s="151">
        <f t="shared" ca="1" si="1050"/>
        <v>715041</v>
      </c>
      <c r="BG166" s="188">
        <f t="shared" ca="1" si="1051"/>
        <v>-4679.8333333333285</v>
      </c>
      <c r="BH166" s="144"/>
      <c r="BI166" s="126">
        <f t="shared" ca="1" si="1052"/>
        <v>88210.166666666672</v>
      </c>
      <c r="BJ166" s="126"/>
      <c r="BK166" s="97">
        <f t="shared" ca="1" si="1053"/>
        <v>0</v>
      </c>
      <c r="BL166" s="97">
        <f t="shared" ca="1" si="1054"/>
        <v>793891.49999999988</v>
      </c>
      <c r="BM166" s="151">
        <f t="shared" ca="1" si="1055"/>
        <v>0</v>
      </c>
      <c r="BN166" s="188">
        <f t="shared" ca="1" si="1056"/>
        <v>88210.166666666672</v>
      </c>
      <c r="BO166" s="144"/>
      <c r="BP166" s="126">
        <f t="shared" ca="1" si="1057"/>
        <v>88210.166666666672</v>
      </c>
      <c r="BQ166" s="126"/>
      <c r="BR166" s="97">
        <f t="shared" ca="1" si="1058"/>
        <v>0</v>
      </c>
      <c r="BS166" s="97">
        <f t="shared" ca="1" si="1059"/>
        <v>882101.66666666651</v>
      </c>
      <c r="BT166" s="151">
        <f t="shared" ca="1" si="1060"/>
        <v>0</v>
      </c>
      <c r="BU166" s="188">
        <f t="shared" ca="1" si="1061"/>
        <v>88210.166666666672</v>
      </c>
      <c r="BV166" s="144"/>
      <c r="BW166" s="126">
        <f t="shared" ca="1" si="1062"/>
        <v>88210.166666666672</v>
      </c>
      <c r="BX166" s="126"/>
      <c r="BY166" s="97">
        <f t="shared" ca="1" si="1063"/>
        <v>0</v>
      </c>
      <c r="BZ166" s="97">
        <f t="shared" ca="1" si="1064"/>
        <v>970311.83333333314</v>
      </c>
      <c r="CA166" s="151">
        <f t="shared" ca="1" si="1065"/>
        <v>0</v>
      </c>
      <c r="CB166" s="188">
        <f t="shared" ca="1" si="1066"/>
        <v>88210.166666666672</v>
      </c>
      <c r="CC166" s="144"/>
      <c r="CD166" s="126">
        <f t="shared" ca="1" si="1067"/>
        <v>88210.166666666672</v>
      </c>
      <c r="CE166" s="126"/>
      <c r="CF166" s="97">
        <f t="shared" ca="1" si="1068"/>
        <v>0</v>
      </c>
      <c r="CG166" s="97">
        <f t="shared" ca="1" si="1069"/>
        <v>1058521.9999999998</v>
      </c>
      <c r="CH166" s="151">
        <f t="shared" ca="1" si="1070"/>
        <v>0</v>
      </c>
      <c r="CI166" s="188">
        <f t="shared" ca="1" si="1071"/>
        <v>88210.166666666672</v>
      </c>
      <c r="CJ166" s="5"/>
      <c r="CK166" s="5"/>
      <c r="CL166" s="5"/>
    </row>
    <row r="167" spans="1:90" s="6" customFormat="1" ht="17.25" customHeight="1">
      <c r="A167" s="133" t="s">
        <v>180</v>
      </c>
      <c r="B167" s="63">
        <v>53052001</v>
      </c>
      <c r="C167" s="134">
        <f t="shared" ca="1" si="1013"/>
        <v>7149913.1200000001</v>
      </c>
      <c r="D167" s="78"/>
      <c r="E167" s="126">
        <f ca="1">$C167/COUNTA(E$1:$CI$1)</f>
        <v>595826.09333333338</v>
      </c>
      <c r="F167" s="126"/>
      <c r="G167" s="104">
        <f t="shared" ca="1" si="1014"/>
        <v>498425</v>
      </c>
      <c r="H167" s="98">
        <f t="shared" ca="1" si="1015"/>
        <v>595826.09333333338</v>
      </c>
      <c r="I167" s="57">
        <f t="shared" ca="1" si="1016"/>
        <v>498425</v>
      </c>
      <c r="J167" s="188">
        <f t="shared" ca="1" si="1017"/>
        <v>-97401.093333333381</v>
      </c>
      <c r="K167" s="70"/>
      <c r="L167" s="126">
        <f t="shared" ca="1" si="1018"/>
        <v>595826.09333333338</v>
      </c>
      <c r="M167" s="126"/>
      <c r="N167" s="97">
        <f t="shared" ca="1" si="1019"/>
        <v>516366</v>
      </c>
      <c r="O167" s="98">
        <f t="shared" ca="1" si="1020"/>
        <v>1191652.1866666668</v>
      </c>
      <c r="P167" s="151">
        <f t="shared" ca="1" si="1021"/>
        <v>1014791</v>
      </c>
      <c r="Q167" s="188">
        <f t="shared" ca="1" si="1022"/>
        <v>79460.093333333381</v>
      </c>
      <c r="R167" s="70"/>
      <c r="S167" s="126">
        <f t="shared" ca="1" si="1023"/>
        <v>595826.09333333338</v>
      </c>
      <c r="T167" s="126"/>
      <c r="U167" s="97">
        <f t="shared" ca="1" si="1024"/>
        <v>526363</v>
      </c>
      <c r="V167" s="97">
        <f t="shared" ca="1" si="1072"/>
        <v>1787478.2800000003</v>
      </c>
      <c r="W167" s="151">
        <f t="shared" ca="1" si="1025"/>
        <v>1541154</v>
      </c>
      <c r="X167" s="188">
        <f t="shared" ca="1" si="1026"/>
        <v>69463.093333333381</v>
      </c>
      <c r="Y167" s="70"/>
      <c r="Z167" s="126">
        <f t="shared" ca="1" si="1027"/>
        <v>595826.09333333338</v>
      </c>
      <c r="AA167" s="126"/>
      <c r="AB167" s="97">
        <f t="shared" ca="1" si="1028"/>
        <v>537220</v>
      </c>
      <c r="AC167" s="97">
        <f t="shared" ca="1" si="1029"/>
        <v>2383304.3733333335</v>
      </c>
      <c r="AD167" s="151">
        <f t="shared" ca="1" si="1030"/>
        <v>2078374</v>
      </c>
      <c r="AE167" s="188">
        <f t="shared" ca="1" si="1031"/>
        <v>58606.093333333381</v>
      </c>
      <c r="AF167" s="70"/>
      <c r="AG167" s="126">
        <f t="shared" ca="1" si="1032"/>
        <v>595826.09333333338</v>
      </c>
      <c r="AH167" s="126"/>
      <c r="AI167" s="97">
        <f t="shared" ca="1" si="1033"/>
        <v>569797</v>
      </c>
      <c r="AJ167" s="97">
        <f t="shared" ca="1" si="1034"/>
        <v>2979130.4666666668</v>
      </c>
      <c r="AK167" s="151">
        <f t="shared" ca="1" si="1035"/>
        <v>2648171</v>
      </c>
      <c r="AL167" s="188">
        <f t="shared" ca="1" si="1036"/>
        <v>26029.093333333381</v>
      </c>
      <c r="AM167" s="70"/>
      <c r="AN167" s="126">
        <f t="shared" ca="1" si="1037"/>
        <v>595826.09333333338</v>
      </c>
      <c r="AO167" s="126"/>
      <c r="AP167" s="97">
        <f t="shared" ca="1" si="1038"/>
        <v>926785.56</v>
      </c>
      <c r="AQ167" s="97">
        <f t="shared" ca="1" si="1039"/>
        <v>3574956.56</v>
      </c>
      <c r="AR167" s="151">
        <f t="shared" ca="1" si="1040"/>
        <v>3574956.56</v>
      </c>
      <c r="AS167" s="188">
        <f t="shared" ca="1" si="1041"/>
        <v>-330959.46666666667</v>
      </c>
      <c r="AT167" s="70"/>
      <c r="AU167" s="126">
        <f t="shared" ca="1" si="1042"/>
        <v>595826.09333333338</v>
      </c>
      <c r="AV167" s="126"/>
      <c r="AW167" s="97">
        <f t="shared" ca="1" si="1043"/>
        <v>907066.34000000032</v>
      </c>
      <c r="AX167" s="126">
        <f t="shared" ca="1" si="1044"/>
        <v>4170782.6533333333</v>
      </c>
      <c r="AY167" s="151">
        <f t="shared" ca="1" si="1045"/>
        <v>4482022.9000000004</v>
      </c>
      <c r="AZ167" s="188">
        <f t="shared" ca="1" si="1046"/>
        <v>-311240.24666666694</v>
      </c>
      <c r="BA167" s="144"/>
      <c r="BB167" s="126">
        <f t="shared" ca="1" si="1047"/>
        <v>595826.09333333338</v>
      </c>
      <c r="BC167" s="126"/>
      <c r="BD167" s="97">
        <f t="shared" ca="1" si="1048"/>
        <v>1363353.2399999993</v>
      </c>
      <c r="BE167" s="97">
        <f t="shared" ca="1" si="1049"/>
        <v>4766608.7466666671</v>
      </c>
      <c r="BF167" s="151">
        <f t="shared" ca="1" si="1050"/>
        <v>5845376.1399999997</v>
      </c>
      <c r="BG167" s="188">
        <f t="shared" ca="1" si="1051"/>
        <v>-767527.14666666591</v>
      </c>
      <c r="BH167" s="144"/>
      <c r="BI167" s="126">
        <f t="shared" ca="1" si="1052"/>
        <v>595826.09333333338</v>
      </c>
      <c r="BJ167" s="126"/>
      <c r="BK167" s="97">
        <f t="shared" ca="1" si="1053"/>
        <v>0</v>
      </c>
      <c r="BL167" s="97">
        <f t="shared" ca="1" si="1054"/>
        <v>5362434.8400000008</v>
      </c>
      <c r="BM167" s="151">
        <f t="shared" ca="1" si="1055"/>
        <v>0</v>
      </c>
      <c r="BN167" s="188">
        <f t="shared" ca="1" si="1056"/>
        <v>595826.09333333338</v>
      </c>
      <c r="BO167" s="144"/>
      <c r="BP167" s="126">
        <f t="shared" ca="1" si="1057"/>
        <v>595826.09333333338</v>
      </c>
      <c r="BQ167" s="126"/>
      <c r="BR167" s="97">
        <f t="shared" ca="1" si="1058"/>
        <v>0</v>
      </c>
      <c r="BS167" s="97">
        <f t="shared" ca="1" si="1059"/>
        <v>5958260.9333333345</v>
      </c>
      <c r="BT167" s="151">
        <f t="shared" ca="1" si="1060"/>
        <v>0</v>
      </c>
      <c r="BU167" s="188">
        <f t="shared" ca="1" si="1061"/>
        <v>595826.09333333338</v>
      </c>
      <c r="BV167" s="144"/>
      <c r="BW167" s="126">
        <f t="shared" ca="1" si="1062"/>
        <v>595826.09333333338</v>
      </c>
      <c r="BX167" s="126"/>
      <c r="BY167" s="97">
        <f t="shared" ca="1" si="1063"/>
        <v>0</v>
      </c>
      <c r="BZ167" s="97">
        <f t="shared" ca="1" si="1064"/>
        <v>6554087.0266666682</v>
      </c>
      <c r="CA167" s="151">
        <f t="shared" ca="1" si="1065"/>
        <v>0</v>
      </c>
      <c r="CB167" s="188">
        <f t="shared" ca="1" si="1066"/>
        <v>595826.09333333338</v>
      </c>
      <c r="CC167" s="144"/>
      <c r="CD167" s="126">
        <f t="shared" ca="1" si="1067"/>
        <v>595826.09333333338</v>
      </c>
      <c r="CE167" s="126"/>
      <c r="CF167" s="97">
        <f t="shared" ca="1" si="1068"/>
        <v>0</v>
      </c>
      <c r="CG167" s="97">
        <f t="shared" ca="1" si="1069"/>
        <v>7149913.120000002</v>
      </c>
      <c r="CH167" s="151">
        <f t="shared" ca="1" si="1070"/>
        <v>0</v>
      </c>
      <c r="CI167" s="188">
        <f t="shared" ca="1" si="1071"/>
        <v>595826.09333333338</v>
      </c>
      <c r="CJ167" s="5"/>
      <c r="CK167" s="5"/>
      <c r="CL167" s="5"/>
    </row>
    <row r="168" spans="1:90" s="6" customFormat="1" ht="17.25" customHeight="1">
      <c r="A168" s="133" t="s">
        <v>181</v>
      </c>
      <c r="B168" s="63">
        <v>53052030</v>
      </c>
      <c r="C168" s="134">
        <f t="shared" ca="1" si="1013"/>
        <v>5945135.8200000003</v>
      </c>
      <c r="D168" s="78"/>
      <c r="E168" s="126">
        <f ca="1">$C168/COUNTA(E$1:$CI$1)</f>
        <v>495427.98500000004</v>
      </c>
      <c r="F168" s="126"/>
      <c r="G168" s="104">
        <f t="shared" ca="1" si="1014"/>
        <v>2244.64</v>
      </c>
      <c r="H168" s="98">
        <f t="shared" ca="1" si="1015"/>
        <v>495427.98500000004</v>
      </c>
      <c r="I168" s="57">
        <f t="shared" ca="1" si="1016"/>
        <v>2244.64</v>
      </c>
      <c r="J168" s="188">
        <f t="shared" ca="1" si="1017"/>
        <v>-493183.34500000003</v>
      </c>
      <c r="K168" s="70"/>
      <c r="L168" s="126">
        <f t="shared" ca="1" si="1018"/>
        <v>495427.98500000004</v>
      </c>
      <c r="M168" s="126"/>
      <c r="N168" s="97">
        <f t="shared" ca="1" si="1019"/>
        <v>3632.0000000000105</v>
      </c>
      <c r="O168" s="98">
        <f t="shared" ca="1" si="1020"/>
        <v>990855.97000000009</v>
      </c>
      <c r="P168" s="151">
        <f t="shared" ca="1" si="1021"/>
        <v>5876.6400000000103</v>
      </c>
      <c r="Q168" s="188">
        <f t="shared" ca="1" si="1022"/>
        <v>491795.98500000004</v>
      </c>
      <c r="R168" s="70"/>
      <c r="S168" s="126">
        <f t="shared" ca="1" si="1023"/>
        <v>495427.98500000004</v>
      </c>
      <c r="T168" s="126"/>
      <c r="U168" s="97">
        <f t="shared" ca="1" si="1024"/>
        <v>42964.159999999989</v>
      </c>
      <c r="V168" s="97">
        <f t="shared" ca="1" si="1072"/>
        <v>1486283.9550000001</v>
      </c>
      <c r="W168" s="151">
        <f t="shared" ca="1" si="1025"/>
        <v>48840.800000000003</v>
      </c>
      <c r="X168" s="188">
        <f t="shared" ca="1" si="1026"/>
        <v>452463.82500000007</v>
      </c>
      <c r="Y168" s="70"/>
      <c r="Z168" s="126">
        <f t="shared" ca="1" si="1027"/>
        <v>495427.98500000004</v>
      </c>
      <c r="AA168" s="126"/>
      <c r="AB168" s="97">
        <f t="shared" ca="1" si="1028"/>
        <v>2915000</v>
      </c>
      <c r="AC168" s="97">
        <f t="shared" ca="1" si="1029"/>
        <v>1981711.9400000002</v>
      </c>
      <c r="AD168" s="151">
        <f t="shared" ca="1" si="1030"/>
        <v>2963840.8</v>
      </c>
      <c r="AE168" s="188">
        <f t="shared" ca="1" si="1031"/>
        <v>-2419572.0150000001</v>
      </c>
      <c r="AF168" s="70"/>
      <c r="AG168" s="126">
        <f t="shared" ca="1" si="1032"/>
        <v>495427.98500000004</v>
      </c>
      <c r="AH168" s="126"/>
      <c r="AI168" s="97">
        <f t="shared" ca="1" si="1033"/>
        <v>2815.9200000003912</v>
      </c>
      <c r="AJ168" s="97">
        <f t="shared" ca="1" si="1034"/>
        <v>2477139.9250000003</v>
      </c>
      <c r="AK168" s="151">
        <f t="shared" ca="1" si="1035"/>
        <v>2966656.72</v>
      </c>
      <c r="AL168" s="188">
        <f t="shared" ca="1" si="1036"/>
        <v>492612.06499999965</v>
      </c>
      <c r="AM168" s="70"/>
      <c r="AN168" s="126">
        <f t="shared" ca="1" si="1037"/>
        <v>495427.98500000004</v>
      </c>
      <c r="AO168" s="126"/>
      <c r="AP168" s="97">
        <f t="shared" ca="1" si="1038"/>
        <v>5911.1899999999441</v>
      </c>
      <c r="AQ168" s="97">
        <f t="shared" ca="1" si="1039"/>
        <v>2972567.91</v>
      </c>
      <c r="AR168" s="151">
        <f t="shared" ca="1" si="1040"/>
        <v>2972567.91</v>
      </c>
      <c r="AS168" s="188">
        <f t="shared" ca="1" si="1041"/>
        <v>489516.7950000001</v>
      </c>
      <c r="AT168" s="70"/>
      <c r="AU168" s="126">
        <f t="shared" ca="1" si="1042"/>
        <v>495427.98500000004</v>
      </c>
      <c r="AV168" s="126"/>
      <c r="AW168" s="97">
        <f t="shared" ca="1" si="1043"/>
        <v>10200</v>
      </c>
      <c r="AX168" s="126">
        <f t="shared" ca="1" si="1044"/>
        <v>3467995.895</v>
      </c>
      <c r="AY168" s="151">
        <f t="shared" ca="1" si="1045"/>
        <v>2982767.91</v>
      </c>
      <c r="AZ168" s="188">
        <f t="shared" ca="1" si="1046"/>
        <v>485227.98500000004</v>
      </c>
      <c r="BA168" s="144"/>
      <c r="BB168" s="126">
        <f t="shared" ca="1" si="1047"/>
        <v>495427.98500000004</v>
      </c>
      <c r="BC168" s="126"/>
      <c r="BD168" s="97">
        <f t="shared" ca="1" si="1048"/>
        <v>3604</v>
      </c>
      <c r="BE168" s="97">
        <f t="shared" ca="1" si="1049"/>
        <v>3963423.88</v>
      </c>
      <c r="BF168" s="151">
        <f t="shared" ca="1" si="1050"/>
        <v>2986371.91</v>
      </c>
      <c r="BG168" s="188">
        <f t="shared" ca="1" si="1051"/>
        <v>491823.98500000004</v>
      </c>
      <c r="BH168" s="144"/>
      <c r="BI168" s="126">
        <f t="shared" ca="1" si="1052"/>
        <v>495427.98500000004</v>
      </c>
      <c r="BJ168" s="126"/>
      <c r="BK168" s="97">
        <f t="shared" ca="1" si="1053"/>
        <v>0</v>
      </c>
      <c r="BL168" s="97">
        <f t="shared" ca="1" si="1054"/>
        <v>4458851.8650000002</v>
      </c>
      <c r="BM168" s="151">
        <f t="shared" ca="1" si="1055"/>
        <v>0</v>
      </c>
      <c r="BN168" s="188">
        <f t="shared" ca="1" si="1056"/>
        <v>495427.98500000004</v>
      </c>
      <c r="BO168" s="144"/>
      <c r="BP168" s="126">
        <f t="shared" ca="1" si="1057"/>
        <v>495427.98500000004</v>
      </c>
      <c r="BQ168" s="126"/>
      <c r="BR168" s="97">
        <f t="shared" ca="1" si="1058"/>
        <v>0</v>
      </c>
      <c r="BS168" s="97">
        <f t="shared" ca="1" si="1059"/>
        <v>4954279.8500000006</v>
      </c>
      <c r="BT168" s="151">
        <f t="shared" ca="1" si="1060"/>
        <v>0</v>
      </c>
      <c r="BU168" s="188">
        <f t="shared" ca="1" si="1061"/>
        <v>495427.98500000004</v>
      </c>
      <c r="BV168" s="144"/>
      <c r="BW168" s="126">
        <f t="shared" ca="1" si="1062"/>
        <v>495427.98500000004</v>
      </c>
      <c r="BX168" s="126"/>
      <c r="BY168" s="97">
        <f t="shared" ca="1" si="1063"/>
        <v>0</v>
      </c>
      <c r="BZ168" s="97">
        <f t="shared" ca="1" si="1064"/>
        <v>5449707.8350000009</v>
      </c>
      <c r="CA168" s="151">
        <f t="shared" ca="1" si="1065"/>
        <v>0</v>
      </c>
      <c r="CB168" s="188">
        <f t="shared" ca="1" si="1066"/>
        <v>495427.98500000004</v>
      </c>
      <c r="CC168" s="144"/>
      <c r="CD168" s="126">
        <f t="shared" ca="1" si="1067"/>
        <v>495427.98500000004</v>
      </c>
      <c r="CE168" s="126"/>
      <c r="CF168" s="97">
        <f t="shared" ca="1" si="1068"/>
        <v>0</v>
      </c>
      <c r="CG168" s="97">
        <f t="shared" ca="1" si="1069"/>
        <v>5945135.8200000012</v>
      </c>
      <c r="CH168" s="151">
        <f t="shared" ca="1" si="1070"/>
        <v>0</v>
      </c>
      <c r="CI168" s="188">
        <f t="shared" ca="1" si="1071"/>
        <v>495427.98500000004</v>
      </c>
      <c r="CJ168" s="5"/>
      <c r="CK168" s="5"/>
      <c r="CL168" s="5"/>
    </row>
    <row r="169" spans="1:90" s="6" customFormat="1" ht="17.25" customHeight="1">
      <c r="A169" s="133" t="s">
        <v>444</v>
      </c>
      <c r="B169" s="63">
        <v>54050101</v>
      </c>
      <c r="C169" s="134">
        <f t="shared" ca="1" si="1013"/>
        <v>0</v>
      </c>
      <c r="D169" s="78"/>
      <c r="E169" s="126">
        <f ca="1">$C169/COUNTA(E$1:$CI$1)</f>
        <v>0</v>
      </c>
      <c r="F169" s="126"/>
      <c r="G169" s="104">
        <f t="shared" ca="1" si="1014"/>
        <v>0</v>
      </c>
      <c r="H169" s="98">
        <f t="shared" ca="1" si="1015"/>
        <v>0</v>
      </c>
      <c r="I169" s="57">
        <f t="shared" ca="1" si="1016"/>
        <v>0</v>
      </c>
      <c r="J169" s="188">
        <f t="shared" ca="1" si="1017"/>
        <v>0</v>
      </c>
      <c r="K169" s="70"/>
      <c r="L169" s="126">
        <f t="shared" ca="1" si="1018"/>
        <v>0</v>
      </c>
      <c r="M169" s="126"/>
      <c r="N169" s="97">
        <f t="shared" ca="1" si="1019"/>
        <v>0</v>
      </c>
      <c r="O169" s="98">
        <f t="shared" ca="1" si="1020"/>
        <v>0</v>
      </c>
      <c r="P169" s="151">
        <f t="shared" ca="1" si="1021"/>
        <v>0</v>
      </c>
      <c r="Q169" s="188">
        <f t="shared" ca="1" si="1022"/>
        <v>0</v>
      </c>
      <c r="R169" s="70"/>
      <c r="S169" s="126">
        <f t="shared" ca="1" si="1023"/>
        <v>0</v>
      </c>
      <c r="T169" s="126"/>
      <c r="U169" s="97">
        <f t="shared" ca="1" si="1024"/>
        <v>0</v>
      </c>
      <c r="V169" s="97">
        <f t="shared" ca="1" si="1072"/>
        <v>0</v>
      </c>
      <c r="W169" s="151">
        <f t="shared" ca="1" si="1025"/>
        <v>0</v>
      </c>
      <c r="X169" s="188">
        <f t="shared" ca="1" si="1026"/>
        <v>0</v>
      </c>
      <c r="Y169" s="70"/>
      <c r="Z169" s="126">
        <f t="shared" ca="1" si="1027"/>
        <v>0</v>
      </c>
      <c r="AA169" s="126"/>
      <c r="AB169" s="97">
        <f t="shared" ca="1" si="1028"/>
        <v>0</v>
      </c>
      <c r="AC169" s="97">
        <f t="shared" ca="1" si="1029"/>
        <v>0</v>
      </c>
      <c r="AD169" s="151">
        <f t="shared" ca="1" si="1030"/>
        <v>0</v>
      </c>
      <c r="AE169" s="188">
        <f t="shared" ca="1" si="1031"/>
        <v>0</v>
      </c>
      <c r="AF169" s="70"/>
      <c r="AG169" s="126">
        <f t="shared" ca="1" si="1032"/>
        <v>0</v>
      </c>
      <c r="AH169" s="126"/>
      <c r="AI169" s="97">
        <f t="shared" ca="1" si="1033"/>
        <v>0</v>
      </c>
      <c r="AJ169" s="97">
        <f t="shared" ca="1" si="1034"/>
        <v>0</v>
      </c>
      <c r="AK169" s="151">
        <f t="shared" ca="1" si="1035"/>
        <v>0</v>
      </c>
      <c r="AL169" s="188">
        <f t="shared" ca="1" si="1036"/>
        <v>0</v>
      </c>
      <c r="AM169" s="70"/>
      <c r="AN169" s="126">
        <f t="shared" ca="1" si="1037"/>
        <v>0</v>
      </c>
      <c r="AO169" s="126"/>
      <c r="AP169" s="97">
        <f t="shared" ca="1" si="1038"/>
        <v>0</v>
      </c>
      <c r="AQ169" s="97">
        <f t="shared" ca="1" si="1039"/>
        <v>0</v>
      </c>
      <c r="AR169" s="151">
        <f t="shared" ca="1" si="1040"/>
        <v>0</v>
      </c>
      <c r="AS169" s="188">
        <f t="shared" ca="1" si="1041"/>
        <v>0</v>
      </c>
      <c r="AT169" s="70"/>
      <c r="AU169" s="126">
        <f t="shared" ca="1" si="1042"/>
        <v>0</v>
      </c>
      <c r="AV169" s="126"/>
      <c r="AW169" s="97">
        <f t="shared" ca="1" si="1043"/>
        <v>0</v>
      </c>
      <c r="AX169" s="126">
        <f t="shared" ca="1" si="1044"/>
        <v>0</v>
      </c>
      <c r="AY169" s="151">
        <f t="shared" ca="1" si="1045"/>
        <v>0</v>
      </c>
      <c r="AZ169" s="188">
        <f t="shared" ca="1" si="1046"/>
        <v>0</v>
      </c>
      <c r="BA169" s="144"/>
      <c r="BB169" s="126">
        <f t="shared" ca="1" si="1047"/>
        <v>0</v>
      </c>
      <c r="BC169" s="126"/>
      <c r="BD169" s="97">
        <f t="shared" ca="1" si="1048"/>
        <v>0</v>
      </c>
      <c r="BE169" s="97">
        <f t="shared" ca="1" si="1049"/>
        <v>0</v>
      </c>
      <c r="BF169" s="151">
        <f t="shared" ca="1" si="1050"/>
        <v>0</v>
      </c>
      <c r="BG169" s="188">
        <f t="shared" ca="1" si="1051"/>
        <v>0</v>
      </c>
      <c r="BH169" s="144"/>
      <c r="BI169" s="126">
        <f t="shared" ca="1" si="1052"/>
        <v>0</v>
      </c>
      <c r="BJ169" s="126"/>
      <c r="BK169" s="97">
        <f t="shared" ca="1" si="1053"/>
        <v>0</v>
      </c>
      <c r="BL169" s="97">
        <f t="shared" ca="1" si="1054"/>
        <v>0</v>
      </c>
      <c r="BM169" s="151">
        <f t="shared" ca="1" si="1055"/>
        <v>0</v>
      </c>
      <c r="BN169" s="188">
        <f t="shared" ca="1" si="1056"/>
        <v>0</v>
      </c>
      <c r="BO169" s="144"/>
      <c r="BP169" s="126">
        <f t="shared" ca="1" si="1057"/>
        <v>0</v>
      </c>
      <c r="BQ169" s="126"/>
      <c r="BR169" s="97">
        <f t="shared" ca="1" si="1058"/>
        <v>0</v>
      </c>
      <c r="BS169" s="97">
        <f t="shared" ca="1" si="1059"/>
        <v>0</v>
      </c>
      <c r="BT169" s="151">
        <f t="shared" ca="1" si="1060"/>
        <v>0</v>
      </c>
      <c r="BU169" s="188">
        <f t="shared" ca="1" si="1061"/>
        <v>0</v>
      </c>
      <c r="BV169" s="144"/>
      <c r="BW169" s="126">
        <f t="shared" ca="1" si="1062"/>
        <v>0</v>
      </c>
      <c r="BX169" s="126"/>
      <c r="BY169" s="97">
        <f t="shared" ca="1" si="1063"/>
        <v>0</v>
      </c>
      <c r="BZ169" s="97">
        <f t="shared" ca="1" si="1064"/>
        <v>0</v>
      </c>
      <c r="CA169" s="151">
        <f t="shared" ca="1" si="1065"/>
        <v>0</v>
      </c>
      <c r="CB169" s="188">
        <f t="shared" ca="1" si="1066"/>
        <v>0</v>
      </c>
      <c r="CC169" s="144"/>
      <c r="CD169" s="126">
        <f t="shared" ca="1" si="1067"/>
        <v>0</v>
      </c>
      <c r="CE169" s="126"/>
      <c r="CF169" s="97">
        <f t="shared" ca="1" si="1068"/>
        <v>0</v>
      </c>
      <c r="CG169" s="97">
        <f t="shared" ca="1" si="1069"/>
        <v>0</v>
      </c>
      <c r="CH169" s="151">
        <f t="shared" ca="1" si="1070"/>
        <v>0</v>
      </c>
      <c r="CI169" s="188">
        <f t="shared" ca="1" si="1071"/>
        <v>0</v>
      </c>
      <c r="CJ169" s="5"/>
      <c r="CK169" s="5"/>
      <c r="CL169" s="5"/>
    </row>
    <row r="170" spans="1:90" s="1" customFormat="1" ht="17.25" customHeight="1">
      <c r="A170" s="61"/>
      <c r="B170" s="64"/>
      <c r="C170" s="78"/>
      <c r="D170" s="78"/>
      <c r="E170" s="100"/>
      <c r="F170" s="100"/>
      <c r="G170" s="78"/>
      <c r="H170" s="100"/>
      <c r="I170" s="101"/>
      <c r="J170" s="70"/>
      <c r="K170" s="70"/>
      <c r="L170" s="100"/>
      <c r="M170" s="100"/>
      <c r="N170" s="78"/>
      <c r="O170" s="100"/>
      <c r="P170" s="101"/>
      <c r="Q170" s="70"/>
      <c r="R170" s="70"/>
      <c r="S170" s="100"/>
      <c r="T170" s="100"/>
      <c r="U170" s="78"/>
      <c r="V170" s="100"/>
      <c r="W170" s="101"/>
      <c r="X170" s="70"/>
      <c r="Y170" s="70"/>
      <c r="Z170" s="100"/>
      <c r="AA170" s="100"/>
      <c r="AB170" s="78"/>
      <c r="AC170" s="100"/>
      <c r="AD170" s="101"/>
      <c r="AE170" s="70"/>
      <c r="AF170" s="70"/>
      <c r="AG170" s="100"/>
      <c r="AH170" s="100"/>
      <c r="AI170" s="78"/>
      <c r="AJ170" s="100"/>
      <c r="AK170" s="101"/>
      <c r="AL170" s="70"/>
      <c r="AM170" s="70"/>
      <c r="AN170" s="100"/>
      <c r="AO170" s="100"/>
      <c r="AP170" s="78"/>
      <c r="AQ170" s="100"/>
      <c r="AR170" s="101"/>
      <c r="AS170" s="70"/>
      <c r="AT170" s="70"/>
      <c r="AU170" s="163"/>
      <c r="AV170" s="163"/>
      <c r="AW170" s="168"/>
      <c r="AX170" s="163"/>
      <c r="AY170" s="164"/>
      <c r="AZ170" s="144"/>
      <c r="BA170" s="144"/>
      <c r="BB170" s="163"/>
      <c r="BC170" s="163"/>
      <c r="BD170" s="168"/>
      <c r="BE170" s="163"/>
      <c r="BF170" s="164"/>
      <c r="BG170" s="144"/>
      <c r="BH170" s="144"/>
      <c r="BI170" s="163"/>
      <c r="BJ170" s="163"/>
      <c r="BK170" s="168"/>
      <c r="BL170" s="163"/>
      <c r="BM170" s="164"/>
      <c r="BN170" s="144"/>
      <c r="BO170" s="144"/>
      <c r="BP170" s="163"/>
      <c r="BQ170" s="163"/>
      <c r="BR170" s="168"/>
      <c r="BS170" s="163"/>
      <c r="BT170" s="164"/>
      <c r="BU170" s="144"/>
      <c r="BV170" s="144"/>
      <c r="BW170" s="163"/>
      <c r="BX170" s="163"/>
      <c r="BY170" s="168"/>
      <c r="BZ170" s="163"/>
      <c r="CA170" s="164"/>
      <c r="CB170" s="144"/>
      <c r="CC170" s="144"/>
      <c r="CD170" s="163"/>
      <c r="CE170" s="163"/>
      <c r="CF170" s="168"/>
      <c r="CG170" s="163"/>
      <c r="CH170" s="164"/>
      <c r="CI170" s="144"/>
      <c r="CJ170" s="76"/>
      <c r="CK170" s="76"/>
      <c r="CL170" s="76"/>
    </row>
    <row r="171" spans="1:90" s="1" customFormat="1" ht="15.75" thickBot="1">
      <c r="A171" s="103"/>
      <c r="B171" s="64"/>
      <c r="C171" s="73"/>
      <c r="D171" s="73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  <c r="BI171" s="149"/>
      <c r="BJ171" s="149"/>
      <c r="BK171" s="149"/>
      <c r="BL171" s="149"/>
      <c r="BM171" s="149"/>
      <c r="BN171" s="149"/>
      <c r="BO171" s="149"/>
      <c r="BP171" s="149"/>
      <c r="BQ171" s="149"/>
      <c r="BR171" s="149"/>
      <c r="BS171" s="149"/>
      <c r="BT171" s="149"/>
      <c r="BU171" s="149"/>
      <c r="BV171" s="149"/>
      <c r="BW171" s="149"/>
      <c r="BX171" s="149"/>
      <c r="BY171" s="149"/>
      <c r="BZ171" s="149"/>
      <c r="CA171" s="149"/>
      <c r="CB171" s="149"/>
      <c r="CC171" s="149"/>
      <c r="CD171" s="149"/>
      <c r="CE171" s="149"/>
      <c r="CF171" s="149"/>
      <c r="CG171" s="149"/>
      <c r="CH171" s="149"/>
      <c r="CI171" s="149"/>
      <c r="CJ171" s="76"/>
      <c r="CK171" s="76"/>
      <c r="CL171" s="76"/>
    </row>
    <row r="172" spans="1:90" s="6" customFormat="1" ht="15.75" thickBot="1">
      <c r="A172" s="268" t="s">
        <v>9</v>
      </c>
      <c r="B172" s="269"/>
      <c r="C172" s="110">
        <f ca="1">+C4-C24-C41</f>
        <v>239345617.51999998</v>
      </c>
      <c r="D172" s="73"/>
      <c r="E172" s="244">
        <f ca="1">+E4-E24-E41</f>
        <v>13709860.149393942</v>
      </c>
      <c r="F172" s="245"/>
      <c r="G172" s="111">
        <f ca="1">+G4-G24-G41</f>
        <v>12681128.379999999</v>
      </c>
      <c r="H172" s="111">
        <f ca="1">+H4-H24-H41</f>
        <v>13709860.149393942</v>
      </c>
      <c r="I172" s="111">
        <f ca="1">+I4-I24-I41</f>
        <v>12681128.379999999</v>
      </c>
      <c r="J172" s="112">
        <f ca="1">+J4-J24-J41</f>
        <v>2204549.2406060575</v>
      </c>
      <c r="K172" s="70"/>
      <c r="L172" s="244">
        <f ca="1">+L4-L24-L41</f>
        <v>11392243.422121212</v>
      </c>
      <c r="M172" s="245"/>
      <c r="N172" s="111">
        <f ca="1">+N4-N24-N41</f>
        <v>19934305.29000001</v>
      </c>
      <c r="O172" s="111">
        <f ca="1">+O4-O24-O41</f>
        <v>-29451155.566818163</v>
      </c>
      <c r="P172" s="111">
        <f ca="1">+P4-P24-P41</f>
        <v>32615433.670000032</v>
      </c>
      <c r="Q172" s="112">
        <f ca="1">+Q4-Q24-Q41</f>
        <v>-8542061.8678788133</v>
      </c>
      <c r="R172" s="70"/>
      <c r="S172" s="244">
        <f ca="1">+S4-S24-S41</f>
        <v>16267410.088787884</v>
      </c>
      <c r="T172" s="245"/>
      <c r="U172" s="111">
        <f ca="1">+U4-U24-U41</f>
        <v>113093.99000000581</v>
      </c>
      <c r="V172" s="111">
        <f ca="1">+V4-V24-V41</f>
        <v>41364900.245303065</v>
      </c>
      <c r="W172" s="111">
        <f ca="1">+W4-W24-W41</f>
        <v>32728527.660000011</v>
      </c>
      <c r="X172" s="112">
        <f ca="1">+X4-X24-X41</f>
        <v>16154316.098787865</v>
      </c>
      <c r="Y172" s="70"/>
      <c r="Z172" s="244">
        <f ca="1">+Z4-Z24-Z41</f>
        <v>19282965.644343436</v>
      </c>
      <c r="AA172" s="245"/>
      <c r="AB172" s="111">
        <f ca="1">+AB4-AB24-AB41</f>
        <v>26722369.530000009</v>
      </c>
      <c r="AC172" s="111">
        <f ca="1">+AC4-AC24-AC41</f>
        <v>-107972464.77702019</v>
      </c>
      <c r="AD172" s="111">
        <f ca="1">+AD4-AD24-AD41</f>
        <v>61242285.689999998</v>
      </c>
      <c r="AE172" s="112">
        <f ca="1">+AE4-AE24-AE41</f>
        <v>-7439403.8856565738</v>
      </c>
      <c r="AF172" s="70"/>
      <c r="AG172" s="244">
        <f ca="1">+AG4-AG24-AG41</f>
        <v>19393377.088787884</v>
      </c>
      <c r="AH172" s="245"/>
      <c r="AI172" s="111">
        <f ca="1">+AI4-AI24-AI41</f>
        <v>23610876.86999999</v>
      </c>
      <c r="AJ172" s="111">
        <f ca="1">+AJ4-AJ24-AJ41</f>
        <v>-151353069.04878789</v>
      </c>
      <c r="AK172" s="111">
        <f ca="1">+AK4-AK24-AK41</f>
        <v>84853162.560000002</v>
      </c>
      <c r="AL172" s="112">
        <f ca="1">+AL4-AL24-AL41</f>
        <v>-4217499.7812121157</v>
      </c>
      <c r="AM172" s="70"/>
      <c r="AN172" s="244">
        <f ca="1">+AN4-AN24-AN41</f>
        <v>25355260.088787898</v>
      </c>
      <c r="AO172" s="245"/>
      <c r="AP172" s="111">
        <f ca="1">+AP4-AP24-AP41</f>
        <v>36611034.699999973</v>
      </c>
      <c r="AQ172" s="111">
        <f ca="1">+AQ4-AQ24-AQ41</f>
        <v>-188966234.76499999</v>
      </c>
      <c r="AR172" s="111">
        <f ca="1">+AR4-AR24-AR41</f>
        <v>121464197.25999999</v>
      </c>
      <c r="AS172" s="112">
        <f ca="1">+AS4-AS24-AS41</f>
        <v>-11255774.61121209</v>
      </c>
      <c r="AT172" s="70"/>
      <c r="AU172" s="236">
        <f ca="1">+AU4-AU24-AU41</f>
        <v>22760743.422121227</v>
      </c>
      <c r="AV172" s="237"/>
      <c r="AW172" s="169">
        <f ca="1">+AW4-AW24-AW41</f>
        <v>-6769465.9000000134</v>
      </c>
      <c r="AX172" s="169">
        <f ca="1">+AX4-AX24-AX41</f>
        <v>128261859.9043434</v>
      </c>
      <c r="AY172" s="169">
        <f ca="1">+AY4-AY24-AY41</f>
        <v>109196271.94000003</v>
      </c>
      <c r="AZ172" s="170">
        <f ca="1">+AZ4-AZ24-AZ41</f>
        <v>29392524.072121218</v>
      </c>
      <c r="BA172" s="144"/>
      <c r="BB172" s="225">
        <f ca="1">+BB4-BB24-BB41</f>
        <v>37760743.422121242</v>
      </c>
      <c r="BC172" s="226"/>
      <c r="BD172" s="169">
        <f ca="1">+BD4-BD24-BD41</f>
        <v>25330449.16</v>
      </c>
      <c r="BE172" s="169">
        <f ca="1">+BE4-BE24-BE41</f>
        <v>166122603.32646462</v>
      </c>
      <c r="BF172" s="169">
        <f ca="1">+BF4-BF24-BF41</f>
        <v>135062971.10000005</v>
      </c>
      <c r="BG172" s="170">
        <f ca="1">+BG4-BG24-BG41</f>
        <v>12292609.012121215</v>
      </c>
      <c r="BH172" s="144"/>
      <c r="BI172" s="225">
        <f ca="1">+BI4-BI24-BI41</f>
        <v>56377410.088787898</v>
      </c>
      <c r="BJ172" s="226"/>
      <c r="BK172" s="169">
        <f ca="1">+BK4-BK24-BK41</f>
        <v>0</v>
      </c>
      <c r="BL172" s="169">
        <f ca="1">+BL4-BL24-BL41</f>
        <v>222600013.41525245</v>
      </c>
      <c r="BM172" s="169">
        <f ca="1">+BM4-BM24-BM41</f>
        <v>0</v>
      </c>
      <c r="BN172" s="170">
        <f ca="1">+BN4-BN24-BN41</f>
        <v>56775974.838787898</v>
      </c>
      <c r="BO172" s="144"/>
      <c r="BP172" s="225">
        <f ca="1">+BP4-BP24-BP41</f>
        <v>17427410.088787884</v>
      </c>
      <c r="BQ172" s="226"/>
      <c r="BR172" s="169">
        <f ca="1">+BR4-BR24-BR41</f>
        <v>0</v>
      </c>
      <c r="BS172" s="169">
        <f ca="1">+BS4-BS24-BS41</f>
        <v>240127423.50404048</v>
      </c>
      <c r="BT172" s="169">
        <f ca="1">+BT4-BT24-BT41</f>
        <v>0</v>
      </c>
      <c r="BU172" s="170">
        <f ca="1">+BU4-BU24-BU41</f>
        <v>17825974.838787884</v>
      </c>
      <c r="BV172" s="144"/>
      <c r="BW172" s="225">
        <f ca="1">+BW4-BW24-BW41</f>
        <v>17427410.088787884</v>
      </c>
      <c r="BX172" s="226"/>
      <c r="BY172" s="169">
        <f ca="1">+BY4-BY24-BY41</f>
        <v>0</v>
      </c>
      <c r="BZ172" s="169">
        <f ca="1">+BZ4-BZ24-BZ41</f>
        <v>257654833.59282827</v>
      </c>
      <c r="CA172" s="169">
        <f ca="1">+CA4-CA24-CA41</f>
        <v>0</v>
      </c>
      <c r="CB172" s="170">
        <f ca="1">+CB4-CB24-CB41</f>
        <v>17825974.838787884</v>
      </c>
      <c r="CC172" s="144"/>
      <c r="CD172" s="236">
        <f ca="1">+CD4-CD24-CD41</f>
        <v>26377410.088787898</v>
      </c>
      <c r="CE172" s="237"/>
      <c r="CF172" s="171">
        <f ca="1">+CF4-CF24-CF41</f>
        <v>0</v>
      </c>
      <c r="CG172" s="171">
        <f ca="1">+CG4-CG24-CG41</f>
        <v>275535899.72161621</v>
      </c>
      <c r="CH172" s="171">
        <f ca="1">+CH4-CH24-CH41</f>
        <v>0</v>
      </c>
      <c r="CI172" s="170">
        <f ca="1">+CI4-CI24-CI41</f>
        <v>26775974.838787898</v>
      </c>
      <c r="CJ172" s="5"/>
      <c r="CK172" s="5"/>
      <c r="CL172" s="5"/>
    </row>
    <row r="173" spans="1:90" ht="15.75" thickBot="1">
      <c r="E173" s="102"/>
      <c r="F173" s="102"/>
      <c r="G173" s="102"/>
      <c r="H173" s="102"/>
      <c r="I173" s="102"/>
      <c r="J173" s="70">
        <f>+I173-E173</f>
        <v>0</v>
      </c>
      <c r="K173" s="70"/>
      <c r="L173" s="102"/>
      <c r="M173" s="102"/>
      <c r="N173" s="102"/>
      <c r="O173" s="102"/>
      <c r="P173" s="102"/>
      <c r="Q173" s="70">
        <f>+P173-L173</f>
        <v>0</v>
      </c>
      <c r="R173" s="70"/>
      <c r="S173" s="102"/>
      <c r="T173" s="102"/>
      <c r="U173" s="102"/>
      <c r="V173" s="102"/>
      <c r="W173" s="102"/>
      <c r="X173" s="70">
        <f>+W173-S173</f>
        <v>0</v>
      </c>
      <c r="Y173" s="70"/>
      <c r="Z173" s="102"/>
      <c r="AA173" s="102"/>
      <c r="AB173" s="102"/>
      <c r="AC173" s="102"/>
      <c r="AD173" s="102"/>
      <c r="AE173" s="70">
        <f>+AD173-Z173</f>
        <v>0</v>
      </c>
      <c r="AF173" s="70"/>
      <c r="AG173" s="102"/>
      <c r="AH173" s="102"/>
      <c r="AI173" s="102"/>
      <c r="AJ173" s="102"/>
      <c r="AK173" s="102"/>
      <c r="AL173" s="70">
        <f>+AK173-AG173</f>
        <v>0</v>
      </c>
      <c r="AM173" s="70"/>
      <c r="AN173" s="102"/>
      <c r="AO173" s="102"/>
      <c r="AP173" s="102"/>
      <c r="AQ173" s="102"/>
      <c r="AR173" s="102"/>
      <c r="AS173" s="70">
        <f>+AR173-AN173</f>
        <v>0</v>
      </c>
      <c r="AT173" s="70"/>
      <c r="AU173" s="167"/>
      <c r="AV173" s="167"/>
      <c r="AW173" s="167"/>
      <c r="AX173" s="167"/>
      <c r="AY173" s="167"/>
      <c r="AZ173" s="144">
        <f>+AY173-AU173</f>
        <v>0</v>
      </c>
      <c r="BA173" s="144"/>
      <c r="BB173" s="167"/>
      <c r="BC173" s="167"/>
      <c r="BD173" s="167"/>
      <c r="BE173" s="167"/>
      <c r="BF173" s="167"/>
      <c r="BG173" s="144">
        <f>+BF173-BB173</f>
        <v>0</v>
      </c>
      <c r="BH173" s="144"/>
      <c r="BI173" s="167"/>
      <c r="BJ173" s="167"/>
      <c r="BK173" s="167"/>
      <c r="BL173" s="167"/>
      <c r="BM173" s="167"/>
      <c r="BN173" s="144">
        <f>+BM173-BI173</f>
        <v>0</v>
      </c>
      <c r="BO173" s="144"/>
      <c r="BP173" s="167"/>
      <c r="BQ173" s="167"/>
      <c r="BR173" s="167"/>
      <c r="BS173" s="167"/>
      <c r="BT173" s="167"/>
      <c r="BU173" s="144">
        <f>+BT173-BP173</f>
        <v>0</v>
      </c>
      <c r="BV173" s="144"/>
      <c r="BW173" s="167"/>
      <c r="BX173" s="167"/>
      <c r="BY173" s="167"/>
      <c r="BZ173" s="167"/>
      <c r="CA173" s="167"/>
      <c r="CB173" s="144">
        <f>+CA173-BW173</f>
        <v>0</v>
      </c>
      <c r="CC173" s="144"/>
      <c r="CD173" s="167"/>
      <c r="CE173" s="167"/>
      <c r="CF173" s="167"/>
      <c r="CG173" s="167"/>
      <c r="CH173" s="167"/>
      <c r="CI173" s="144">
        <f>+CH173-CD173</f>
        <v>0</v>
      </c>
      <c r="CJ173" s="85"/>
      <c r="CK173" s="85"/>
      <c r="CL173" s="85"/>
    </row>
    <row r="174" spans="1:90" s="6" customFormat="1" ht="15.75" thickBot="1">
      <c r="A174" s="268" t="s">
        <v>8</v>
      </c>
      <c r="B174" s="269"/>
      <c r="C174" s="110"/>
      <c r="D174" s="73"/>
      <c r="E174" s="113"/>
      <c r="F174" s="124"/>
      <c r="G174" s="114"/>
      <c r="H174" s="114"/>
      <c r="I174" s="114"/>
      <c r="J174" s="115">
        <f>+G174-E174</f>
        <v>0</v>
      </c>
      <c r="K174" s="70"/>
      <c r="L174" s="113"/>
      <c r="M174" s="124"/>
      <c r="N174" s="114"/>
      <c r="O174" s="114"/>
      <c r="P174" s="114"/>
      <c r="Q174" s="115">
        <f>+N174-L174</f>
        <v>0</v>
      </c>
      <c r="R174" s="70"/>
      <c r="S174" s="113"/>
      <c r="T174" s="124"/>
      <c r="U174" s="114"/>
      <c r="V174" s="114"/>
      <c r="W174" s="114"/>
      <c r="X174" s="115">
        <f>+U174-S174</f>
        <v>0</v>
      </c>
      <c r="Y174" s="70"/>
      <c r="Z174" s="113"/>
      <c r="AA174" s="124"/>
      <c r="AB174" s="114"/>
      <c r="AC174" s="114"/>
      <c r="AD174" s="114"/>
      <c r="AE174" s="115">
        <f>+AB174-Z174</f>
        <v>0</v>
      </c>
      <c r="AF174" s="70"/>
      <c r="AG174" s="113"/>
      <c r="AH174" s="124"/>
      <c r="AI174" s="114"/>
      <c r="AJ174" s="114"/>
      <c r="AK174" s="114"/>
      <c r="AL174" s="115">
        <f>+AI174-AG174</f>
        <v>0</v>
      </c>
      <c r="AM174" s="70"/>
      <c r="AN174" s="113"/>
      <c r="AO174" s="124"/>
      <c r="AP174" s="114"/>
      <c r="AQ174" s="114"/>
      <c r="AR174" s="114"/>
      <c r="AS174" s="115">
        <f>+AP174-AN174</f>
        <v>0</v>
      </c>
      <c r="AT174" s="70"/>
      <c r="AU174" s="172"/>
      <c r="AV174" s="173"/>
      <c r="AW174" s="174"/>
      <c r="AX174" s="174"/>
      <c r="AY174" s="174"/>
      <c r="AZ174" s="175">
        <f>+AW174-AU174</f>
        <v>0</v>
      </c>
      <c r="BA174" s="144"/>
      <c r="BB174" s="172"/>
      <c r="BC174" s="173"/>
      <c r="BD174" s="174"/>
      <c r="BE174" s="174"/>
      <c r="BF174" s="174"/>
      <c r="BG174" s="175">
        <f>+BD174-BB174</f>
        <v>0</v>
      </c>
      <c r="BH174" s="144"/>
      <c r="BI174" s="172"/>
      <c r="BJ174" s="173"/>
      <c r="BK174" s="174"/>
      <c r="BL174" s="174"/>
      <c r="BM174" s="174"/>
      <c r="BN174" s="175">
        <f>+BK174-BI174</f>
        <v>0</v>
      </c>
      <c r="BO174" s="144"/>
      <c r="BP174" s="172"/>
      <c r="BQ174" s="173"/>
      <c r="BR174" s="174"/>
      <c r="BS174" s="174"/>
      <c r="BT174" s="174"/>
      <c r="BU174" s="175">
        <f>+BR174-BP174</f>
        <v>0</v>
      </c>
      <c r="BV174" s="144"/>
      <c r="BW174" s="172"/>
      <c r="BX174" s="173"/>
      <c r="BY174" s="174"/>
      <c r="BZ174" s="174"/>
      <c r="CA174" s="174"/>
      <c r="CB174" s="175">
        <f>+BY174-BW174</f>
        <v>0</v>
      </c>
      <c r="CC174" s="144"/>
      <c r="CD174" s="172"/>
      <c r="CE174" s="173"/>
      <c r="CF174" s="174"/>
      <c r="CG174" s="174"/>
      <c r="CH174" s="174"/>
      <c r="CI174" s="175">
        <f>+CF174-CD174</f>
        <v>0</v>
      </c>
      <c r="CJ174" s="5"/>
      <c r="CK174" s="5"/>
      <c r="CL174" s="5"/>
    </row>
    <row r="175" spans="1:90" ht="15.75" thickBot="1">
      <c r="E175" s="102"/>
      <c r="F175" s="102"/>
      <c r="G175" s="102"/>
      <c r="H175" s="102"/>
      <c r="I175" s="102"/>
      <c r="J175" s="70">
        <f>+I175-E175</f>
        <v>0</v>
      </c>
      <c r="K175" s="70"/>
      <c r="L175" s="102"/>
      <c r="M175" s="102"/>
      <c r="N175" s="102"/>
      <c r="O175" s="102"/>
      <c r="P175" s="102"/>
      <c r="Q175" s="70">
        <f>+P175-L175</f>
        <v>0</v>
      </c>
      <c r="R175" s="70"/>
      <c r="S175" s="102"/>
      <c r="T175" s="102"/>
      <c r="U175" s="102"/>
      <c r="V175" s="102"/>
      <c r="W175" s="102"/>
      <c r="X175" s="70">
        <f>+W175-S175</f>
        <v>0</v>
      </c>
      <c r="Y175" s="70"/>
      <c r="Z175" s="102"/>
      <c r="AA175" s="102"/>
      <c r="AB175" s="102"/>
      <c r="AC175" s="102"/>
      <c r="AD175" s="102"/>
      <c r="AE175" s="70">
        <f>+AD175-Z175</f>
        <v>0</v>
      </c>
      <c r="AF175" s="70"/>
      <c r="AG175" s="102"/>
      <c r="AH175" s="102"/>
      <c r="AI175" s="102"/>
      <c r="AJ175" s="102"/>
      <c r="AK175" s="102"/>
      <c r="AL175" s="70">
        <f>+AK175-AG175</f>
        <v>0</v>
      </c>
      <c r="AM175" s="70"/>
      <c r="AN175" s="102"/>
      <c r="AO175" s="102"/>
      <c r="AP175" s="102"/>
      <c r="AQ175" s="102"/>
      <c r="AR175" s="102"/>
      <c r="AS175" s="70">
        <f>+AR175-AN175</f>
        <v>0</v>
      </c>
      <c r="AT175" s="70"/>
      <c r="AU175" s="167"/>
      <c r="AV175" s="167"/>
      <c r="AW175" s="167"/>
      <c r="AX175" s="167"/>
      <c r="AY175" s="167"/>
      <c r="AZ175" s="144">
        <f>+AY175-AU175</f>
        <v>0</v>
      </c>
      <c r="BA175" s="144"/>
      <c r="BB175" s="167"/>
      <c r="BC175" s="167"/>
      <c r="BD175" s="167"/>
      <c r="BE175" s="167"/>
      <c r="BF175" s="167"/>
      <c r="BG175" s="144">
        <f>+BF175-BB175</f>
        <v>0</v>
      </c>
      <c r="BH175" s="144"/>
      <c r="BI175" s="167"/>
      <c r="BJ175" s="167"/>
      <c r="BK175" s="167"/>
      <c r="BL175" s="167"/>
      <c r="BM175" s="167"/>
      <c r="BN175" s="144">
        <f>+BM175-BI175</f>
        <v>0</v>
      </c>
      <c r="BO175" s="144"/>
      <c r="BP175" s="167"/>
      <c r="BQ175" s="167"/>
      <c r="BR175" s="167"/>
      <c r="BS175" s="167"/>
      <c r="BT175" s="167"/>
      <c r="BU175" s="144">
        <f>+BT175-BP175</f>
        <v>0</v>
      </c>
      <c r="BV175" s="144"/>
      <c r="BW175" s="167"/>
      <c r="BX175" s="167"/>
      <c r="BY175" s="167"/>
      <c r="BZ175" s="167"/>
      <c r="CA175" s="167"/>
      <c r="CB175" s="144">
        <f>+CA175-BW175</f>
        <v>0</v>
      </c>
      <c r="CC175" s="144"/>
      <c r="CD175" s="167"/>
      <c r="CE175" s="167"/>
      <c r="CF175" s="167"/>
      <c r="CG175" s="167"/>
      <c r="CH175" s="167"/>
      <c r="CI175" s="144">
        <f>+CH175-CD175</f>
        <v>0</v>
      </c>
      <c r="CJ175" s="85"/>
      <c r="CK175" s="85"/>
      <c r="CL175" s="85"/>
    </row>
    <row r="176" spans="1:90" s="6" customFormat="1" ht="15.75" thickBot="1">
      <c r="A176" s="268" t="s">
        <v>10</v>
      </c>
      <c r="B176" s="269"/>
      <c r="C176" s="110"/>
      <c r="D176" s="73"/>
      <c r="E176" s="113"/>
      <c r="F176" s="124"/>
      <c r="G176" s="114"/>
      <c r="H176" s="114"/>
      <c r="I176" s="114"/>
      <c r="J176" s="115">
        <f>+G176-E176</f>
        <v>0</v>
      </c>
      <c r="K176" s="70"/>
      <c r="L176" s="113"/>
      <c r="M176" s="124"/>
      <c r="N176" s="114"/>
      <c r="O176" s="114"/>
      <c r="P176" s="114"/>
      <c r="Q176" s="115">
        <f>+N176-L176</f>
        <v>0</v>
      </c>
      <c r="R176" s="70"/>
      <c r="S176" s="113"/>
      <c r="T176" s="124"/>
      <c r="U176" s="114"/>
      <c r="V176" s="114"/>
      <c r="W176" s="114"/>
      <c r="X176" s="115">
        <f>+U176-S176</f>
        <v>0</v>
      </c>
      <c r="Y176" s="70"/>
      <c r="Z176" s="113"/>
      <c r="AA176" s="124"/>
      <c r="AB176" s="114"/>
      <c r="AC176" s="114"/>
      <c r="AD176" s="114"/>
      <c r="AE176" s="115">
        <f>+AB176-Z176</f>
        <v>0</v>
      </c>
      <c r="AF176" s="70"/>
      <c r="AG176" s="113"/>
      <c r="AH176" s="124"/>
      <c r="AI176" s="114"/>
      <c r="AJ176" s="114"/>
      <c r="AK176" s="114"/>
      <c r="AL176" s="115">
        <f>+AI176-AG176</f>
        <v>0</v>
      </c>
      <c r="AM176" s="70"/>
      <c r="AN176" s="113"/>
      <c r="AO176" s="124"/>
      <c r="AP176" s="114"/>
      <c r="AQ176" s="114"/>
      <c r="AR176" s="114"/>
      <c r="AS176" s="115">
        <f>+AP176-AN176</f>
        <v>0</v>
      </c>
      <c r="AT176" s="70"/>
      <c r="AU176" s="172"/>
      <c r="AV176" s="173"/>
      <c r="AW176" s="174"/>
      <c r="AX176" s="174"/>
      <c r="AY176" s="174"/>
      <c r="AZ176" s="175">
        <f>+AW176-AU176</f>
        <v>0</v>
      </c>
      <c r="BA176" s="144"/>
      <c r="BB176" s="172"/>
      <c r="BC176" s="173"/>
      <c r="BD176" s="174"/>
      <c r="BE176" s="174"/>
      <c r="BF176" s="174"/>
      <c r="BG176" s="175">
        <f>+BD176-BB176</f>
        <v>0</v>
      </c>
      <c r="BH176" s="144"/>
      <c r="BI176" s="172"/>
      <c r="BJ176" s="173"/>
      <c r="BK176" s="174"/>
      <c r="BL176" s="174"/>
      <c r="BM176" s="174"/>
      <c r="BN176" s="175">
        <f>+BK176-BI176</f>
        <v>0</v>
      </c>
      <c r="BO176" s="144"/>
      <c r="BP176" s="172"/>
      <c r="BQ176" s="173"/>
      <c r="BR176" s="174"/>
      <c r="BS176" s="174"/>
      <c r="BT176" s="174"/>
      <c r="BU176" s="175">
        <f>+BR176-BP176</f>
        <v>0</v>
      </c>
      <c r="BV176" s="144"/>
      <c r="BW176" s="172"/>
      <c r="BX176" s="173"/>
      <c r="BY176" s="174"/>
      <c r="BZ176" s="174"/>
      <c r="CA176" s="174"/>
      <c r="CB176" s="175">
        <f>+BY176-BW176</f>
        <v>0</v>
      </c>
      <c r="CC176" s="144"/>
      <c r="CD176" s="172"/>
      <c r="CE176" s="173"/>
      <c r="CF176" s="174"/>
      <c r="CG176" s="174"/>
      <c r="CH176" s="174"/>
      <c r="CI176" s="175">
        <f>+CF176-CD176</f>
        <v>0</v>
      </c>
      <c r="CJ176" s="5"/>
      <c r="CK176" s="5"/>
      <c r="CL176" s="5"/>
    </row>
    <row r="177" spans="1:90">
      <c r="L177" s="3"/>
      <c r="M177" s="3"/>
      <c r="N177" s="3"/>
      <c r="O177" s="3"/>
      <c r="P177" s="3"/>
      <c r="Q177" s="58"/>
      <c r="Z177" s="3"/>
      <c r="AA177" s="3"/>
      <c r="AB177" s="3"/>
      <c r="AC177" s="3"/>
      <c r="AD177" s="3"/>
      <c r="AE177" s="58"/>
      <c r="AN177" s="3"/>
      <c r="AO177" s="3"/>
      <c r="AP177" s="3"/>
      <c r="AQ177" s="3"/>
      <c r="AR177" s="3"/>
      <c r="AS177" s="58"/>
      <c r="AU177" s="176"/>
      <c r="AV177" s="176"/>
      <c r="AW177" s="176"/>
      <c r="AX177" s="176"/>
      <c r="AY177" s="176"/>
      <c r="AZ177" s="177"/>
      <c r="BA177" s="178"/>
      <c r="BB177" s="176"/>
      <c r="BC177" s="176"/>
      <c r="BD177" s="176"/>
      <c r="BE177" s="176"/>
      <c r="BF177" s="176"/>
      <c r="BG177" s="177"/>
      <c r="BH177" s="178"/>
      <c r="BI177" s="176"/>
      <c r="BJ177" s="176"/>
      <c r="BK177" s="176"/>
      <c r="BL177" s="176"/>
      <c r="BM177" s="176"/>
      <c r="BN177" s="177"/>
      <c r="BO177" s="178"/>
      <c r="BP177" s="176"/>
      <c r="BQ177" s="176"/>
      <c r="BR177" s="176"/>
      <c r="BS177" s="176"/>
      <c r="BT177" s="176"/>
      <c r="BU177" s="177"/>
      <c r="BV177" s="178"/>
      <c r="BW177" s="176"/>
      <c r="BX177" s="176"/>
      <c r="BY177" s="176"/>
      <c r="BZ177" s="176"/>
      <c r="CA177" s="176"/>
      <c r="CB177" s="177"/>
      <c r="CC177" s="178"/>
      <c r="CD177" s="176"/>
      <c r="CE177" s="176"/>
      <c r="CF177" s="176"/>
      <c r="CG177" s="176"/>
      <c r="CH177" s="176"/>
      <c r="CI177" s="177"/>
    </row>
    <row r="178" spans="1:90">
      <c r="L178" s="3"/>
      <c r="M178" s="3"/>
      <c r="N178" s="3"/>
      <c r="O178" s="3"/>
      <c r="P178" s="3"/>
      <c r="Q178" s="58"/>
      <c r="Z178" s="3"/>
      <c r="AA178" s="3"/>
      <c r="AB178" s="3"/>
      <c r="AC178" s="3"/>
      <c r="AD178" s="3"/>
      <c r="AE178" s="58"/>
      <c r="AN178" s="3"/>
      <c r="AO178" s="3"/>
      <c r="AP178" s="3"/>
      <c r="AQ178" s="3"/>
      <c r="AR178" s="3"/>
      <c r="AS178" s="58"/>
      <c r="AU178" s="176"/>
      <c r="AV178" s="176"/>
      <c r="AW178" s="176"/>
      <c r="AX178" s="176"/>
      <c r="AY178" s="176"/>
      <c r="AZ178" s="177"/>
      <c r="BA178" s="178"/>
      <c r="BB178" s="176"/>
      <c r="BC178" s="176"/>
      <c r="BD178" s="176"/>
      <c r="BE178" s="176"/>
      <c r="BF178" s="176"/>
      <c r="BG178" s="177"/>
      <c r="BH178" s="178"/>
      <c r="BI178" s="176"/>
      <c r="BJ178" s="176"/>
      <c r="BK178" s="176"/>
      <c r="BL178" s="176"/>
      <c r="BM178" s="176"/>
      <c r="BN178" s="177"/>
      <c r="BO178" s="178"/>
      <c r="BP178" s="176"/>
      <c r="BQ178" s="176"/>
      <c r="BR178" s="176"/>
      <c r="BS178" s="176"/>
      <c r="BT178" s="176"/>
      <c r="BU178" s="177"/>
      <c r="BV178" s="178"/>
      <c r="BW178" s="176"/>
      <c r="BX178" s="176"/>
      <c r="BY178" s="176"/>
      <c r="BZ178" s="176"/>
      <c r="CA178" s="176"/>
      <c r="CB178" s="177"/>
      <c r="CC178" s="178"/>
      <c r="CD178" s="176"/>
      <c r="CE178" s="176"/>
      <c r="CF178" s="176"/>
      <c r="CG178" s="176"/>
      <c r="CH178" s="176"/>
      <c r="CI178" s="177"/>
    </row>
    <row r="179" spans="1:90" ht="15.75" thickBot="1">
      <c r="L179" s="3"/>
      <c r="M179" s="3"/>
      <c r="N179" s="3"/>
      <c r="O179" s="3"/>
      <c r="P179" s="3"/>
      <c r="Q179" s="58"/>
      <c r="Z179" s="3"/>
      <c r="AA179" s="3"/>
      <c r="AB179" s="3"/>
      <c r="AC179" s="3"/>
      <c r="AD179" s="3"/>
      <c r="AE179" s="58"/>
      <c r="AN179" s="3"/>
      <c r="AO179" s="3"/>
      <c r="AP179" s="3"/>
      <c r="AQ179" s="3"/>
      <c r="AR179" s="3"/>
      <c r="AS179" s="58"/>
      <c r="AU179" s="176"/>
      <c r="AV179" s="176"/>
      <c r="AW179" s="176"/>
      <c r="AX179" s="176"/>
      <c r="AY179" s="176"/>
      <c r="AZ179" s="177"/>
      <c r="BA179" s="178"/>
      <c r="BB179" s="176"/>
      <c r="BC179" s="176"/>
      <c r="BD179" s="176"/>
      <c r="BE179" s="176"/>
      <c r="BF179" s="176"/>
      <c r="BG179" s="177"/>
      <c r="BH179" s="178"/>
      <c r="BI179" s="176"/>
      <c r="BJ179" s="176"/>
      <c r="BK179" s="176"/>
      <c r="BL179" s="176"/>
      <c r="BM179" s="176"/>
      <c r="BN179" s="177"/>
      <c r="BO179" s="178"/>
      <c r="BP179" s="176"/>
      <c r="BQ179" s="176"/>
      <c r="BR179" s="176"/>
      <c r="BS179" s="176"/>
      <c r="BT179" s="176"/>
      <c r="BU179" s="177"/>
      <c r="BV179" s="178"/>
      <c r="BW179" s="176"/>
      <c r="BX179" s="176"/>
      <c r="BY179" s="176"/>
      <c r="BZ179" s="176"/>
      <c r="CA179" s="176"/>
      <c r="CB179" s="177"/>
      <c r="CC179" s="178"/>
      <c r="CD179" s="176"/>
      <c r="CE179" s="176"/>
      <c r="CF179" s="176"/>
      <c r="CG179" s="176"/>
      <c r="CH179" s="176"/>
      <c r="CI179" s="177"/>
    </row>
    <row r="180" spans="1:90" s="68" customFormat="1" ht="23.25" customHeight="1" thickBot="1">
      <c r="A180" s="263" t="s">
        <v>1</v>
      </c>
      <c r="B180" s="264"/>
      <c r="C180" s="107">
        <f ca="1">C4</f>
        <v>779241017.65999997</v>
      </c>
      <c r="D180" s="79"/>
      <c r="E180" s="270">
        <f ca="1">E4</f>
        <v>54553259.138333328</v>
      </c>
      <c r="F180" s="271"/>
      <c r="G180" s="127">
        <f ca="1">G4</f>
        <v>52718176.299999997</v>
      </c>
      <c r="H180" s="127">
        <f ca="1">H4</f>
        <v>54553259.138333328</v>
      </c>
      <c r="I180" s="127">
        <f ca="1">I4</f>
        <v>52718176.299999997</v>
      </c>
      <c r="J180" s="128">
        <f ca="1">J4</f>
        <v>1835082.838333331</v>
      </c>
      <c r="K180" s="83"/>
      <c r="L180" s="270">
        <f ca="1">L4</f>
        <v>54553259.138333328</v>
      </c>
      <c r="M180" s="271"/>
      <c r="N180" s="127">
        <f ca="1">N4</f>
        <v>62633558.399999999</v>
      </c>
      <c r="O180" s="127">
        <f ca="1">O4</f>
        <v>54553259.138333328</v>
      </c>
      <c r="P180" s="127">
        <f ca="1">P4</f>
        <v>115351734.7</v>
      </c>
      <c r="Q180" s="128">
        <f ca="1">Q4</f>
        <v>-8080299.2616666704</v>
      </c>
      <c r="R180" s="83"/>
      <c r="S180" s="270">
        <f ca="1">S4</f>
        <v>59518425.805</v>
      </c>
      <c r="T180" s="271"/>
      <c r="U180" s="127">
        <f ca="1">U4</f>
        <v>48183658.759999998</v>
      </c>
      <c r="V180" s="127">
        <f ca="1">V4</f>
        <v>168620330.66666669</v>
      </c>
      <c r="W180" s="127">
        <f ca="1">W4</f>
        <v>163535393.46000001</v>
      </c>
      <c r="X180" s="128">
        <f ca="1">X4</f>
        <v>11334767.045000002</v>
      </c>
      <c r="Y180" s="83"/>
      <c r="Z180" s="270">
        <f ca="1">Z4</f>
        <v>62773981.360555552</v>
      </c>
      <c r="AA180" s="271"/>
      <c r="AB180" s="127">
        <f ca="1">AB4</f>
        <v>72898061.480000004</v>
      </c>
      <c r="AC180" s="127">
        <f ca="1">AC4</f>
        <v>62773981.360555552</v>
      </c>
      <c r="AD180" s="127">
        <f ca="1">AD4</f>
        <v>238224843.44</v>
      </c>
      <c r="AE180" s="128">
        <f ca="1">AE4</f>
        <v>-10124080.119444452</v>
      </c>
      <c r="AF180" s="83"/>
      <c r="AG180" s="270">
        <f ca="1">AG4</f>
        <v>62968425.805</v>
      </c>
      <c r="AH180" s="271"/>
      <c r="AI180" s="127">
        <f ca="1">AI4</f>
        <v>69883602.439999998</v>
      </c>
      <c r="AJ180" s="127">
        <f ca="1">AJ4</f>
        <v>62968425.805</v>
      </c>
      <c r="AK180" s="127">
        <f ca="1">AK4</f>
        <v>308108445.88</v>
      </c>
      <c r="AL180" s="128">
        <f ca="1">AL4</f>
        <v>-6915176.6349999979</v>
      </c>
      <c r="AM180" s="83"/>
      <c r="AN180" s="270">
        <f ca="1">AN4</f>
        <v>70168425.805000007</v>
      </c>
      <c r="AO180" s="271"/>
      <c r="AP180" s="127">
        <f ca="1">AP4</f>
        <v>83303451.450000003</v>
      </c>
      <c r="AQ180" s="127">
        <f ca="1">AQ4</f>
        <v>70168425.805000007</v>
      </c>
      <c r="AR180" s="127">
        <f ca="1">AR4</f>
        <v>391411897.32999998</v>
      </c>
      <c r="AS180" s="128">
        <f ca="1">AS4</f>
        <v>-13135025.644999996</v>
      </c>
      <c r="AT180" s="83"/>
      <c r="AU180" s="276">
        <f ca="1">AU4</f>
        <v>66351759.138333336</v>
      </c>
      <c r="AV180" s="277"/>
      <c r="AW180" s="179">
        <f ca="1">AW4</f>
        <v>51599504.729999997</v>
      </c>
      <c r="AX180" s="179">
        <f ca="1">AX4</f>
        <v>430887536.19055551</v>
      </c>
      <c r="AY180" s="179">
        <f ca="1">AY4</f>
        <v>443547652.06</v>
      </c>
      <c r="AZ180" s="180">
        <f ca="1">AZ4</f>
        <v>14514569.158333335</v>
      </c>
      <c r="BA180" s="181"/>
      <c r="BB180" s="276">
        <f ca="1">BB4</f>
        <v>81351759.13833335</v>
      </c>
      <c r="BC180" s="277"/>
      <c r="BD180" s="179">
        <f ca="1">BD4</f>
        <v>61718782.219999999</v>
      </c>
      <c r="BE180" s="179">
        <f ca="1">BE4</f>
        <v>512239295.32888883</v>
      </c>
      <c r="BF180" s="179">
        <f ca="1">BF4</f>
        <v>505802684.28000003</v>
      </c>
      <c r="BG180" s="180">
        <f ca="1">BG4</f>
        <v>19395291.668333344</v>
      </c>
      <c r="BH180" s="181"/>
      <c r="BI180" s="276">
        <f ca="1">BI4</f>
        <v>99968425.805000007</v>
      </c>
      <c r="BJ180" s="277"/>
      <c r="BK180" s="179">
        <f ca="1">BK4</f>
        <v>0</v>
      </c>
      <c r="BL180" s="179">
        <f ca="1">BL4</f>
        <v>612207721.13388884</v>
      </c>
      <c r="BM180" s="179">
        <f ca="1">BM4</f>
        <v>0</v>
      </c>
      <c r="BN180" s="180">
        <f ca="1">BN4</f>
        <v>100266990.55500001</v>
      </c>
      <c r="BO180" s="181"/>
      <c r="BP180" s="276">
        <f ca="1">BP4</f>
        <v>61018425.805</v>
      </c>
      <c r="BQ180" s="277"/>
      <c r="BR180" s="179">
        <f ca="1">BR4</f>
        <v>0</v>
      </c>
      <c r="BS180" s="179">
        <f ca="1">BS4</f>
        <v>673226146.93888903</v>
      </c>
      <c r="BT180" s="179">
        <f ca="1">BT4</f>
        <v>0</v>
      </c>
      <c r="BU180" s="180">
        <f ca="1">BU4</f>
        <v>61316990.555</v>
      </c>
      <c r="BV180" s="181"/>
      <c r="BW180" s="276">
        <f ca="1">BW4</f>
        <v>61018425.805</v>
      </c>
      <c r="BX180" s="277"/>
      <c r="BY180" s="179">
        <f ca="1">BY4</f>
        <v>0</v>
      </c>
      <c r="BZ180" s="179">
        <f ca="1">BZ4</f>
        <v>734244572.74388885</v>
      </c>
      <c r="CA180" s="179">
        <f ca="1">CA4</f>
        <v>0</v>
      </c>
      <c r="CB180" s="180">
        <f ca="1">CB4</f>
        <v>61316990.555</v>
      </c>
      <c r="CC180" s="181"/>
      <c r="CD180" s="276">
        <f ca="1">CD4</f>
        <v>69968425.805000007</v>
      </c>
      <c r="CE180" s="277"/>
      <c r="CF180" s="179">
        <f ca="1">CF4</f>
        <v>0</v>
      </c>
      <c r="CG180" s="179">
        <f ca="1">CG4</f>
        <v>804212998.54888892</v>
      </c>
      <c r="CH180" s="179">
        <f ca="1">CH4</f>
        <v>0</v>
      </c>
      <c r="CI180" s="180">
        <f ca="1">CI4</f>
        <v>70266990.555000007</v>
      </c>
      <c r="CJ180" s="67"/>
      <c r="CK180" s="67"/>
      <c r="CL180" s="67"/>
    </row>
    <row r="181" spans="1:90" s="2" customFormat="1">
      <c r="A181" s="265" t="s">
        <v>207</v>
      </c>
      <c r="B181" s="266"/>
      <c r="C181" s="108">
        <f ca="1">C24</f>
        <v>178377030</v>
      </c>
      <c r="D181" s="73"/>
      <c r="E181" s="272">
        <f>E24</f>
        <v>13162349.333333332</v>
      </c>
      <c r="F181" s="273"/>
      <c r="G181" s="129">
        <f ca="1">G24</f>
        <v>12943907</v>
      </c>
      <c r="H181" s="129">
        <f>H24</f>
        <v>13162349.333333332</v>
      </c>
      <c r="I181" s="129">
        <f ca="1">I24</f>
        <v>12943907</v>
      </c>
      <c r="J181" s="130">
        <f ca="1">J24</f>
        <v>218442.33333333395</v>
      </c>
      <c r="K181" s="72"/>
      <c r="L181" s="272">
        <f>L24</f>
        <v>13162349.333333332</v>
      </c>
      <c r="M181" s="273"/>
      <c r="N181" s="129">
        <f ca="1">N24</f>
        <v>15127244</v>
      </c>
      <c r="O181" s="129">
        <f>O24</f>
        <v>26324698.666666664</v>
      </c>
      <c r="P181" s="129">
        <f ca="1">P24</f>
        <v>28071151</v>
      </c>
      <c r="Q181" s="130">
        <f ca="1">Q24</f>
        <v>-1964894.6666666665</v>
      </c>
      <c r="R181" s="72"/>
      <c r="S181" s="272">
        <f>S24</f>
        <v>13252349.333333332</v>
      </c>
      <c r="T181" s="273"/>
      <c r="U181" s="129">
        <f ca="1">U24</f>
        <v>15251764</v>
      </c>
      <c r="V181" s="129">
        <f>V24</f>
        <v>39577048</v>
      </c>
      <c r="W181" s="129">
        <f ca="1">W24</f>
        <v>43322915</v>
      </c>
      <c r="X181" s="130">
        <f ca="1">X24</f>
        <v>-1999414.6666666665</v>
      </c>
      <c r="Y181" s="72"/>
      <c r="Z181" s="272">
        <f>Z24</f>
        <v>13492349.333333332</v>
      </c>
      <c r="AA181" s="273"/>
      <c r="AB181" s="129">
        <f ca="1">AB24</f>
        <v>15496426</v>
      </c>
      <c r="AC181" s="129">
        <f>AC24</f>
        <v>53069397.333333328</v>
      </c>
      <c r="AD181" s="129">
        <f ca="1">AD24</f>
        <v>58819341</v>
      </c>
      <c r="AE181" s="130">
        <f ca="1">AE24</f>
        <v>-2004076.6666666665</v>
      </c>
      <c r="AF181" s="72"/>
      <c r="AG181" s="272">
        <f>AG24</f>
        <v>13492349.333333332</v>
      </c>
      <c r="AH181" s="273"/>
      <c r="AI181" s="129">
        <f ca="1">AI24</f>
        <v>15583817</v>
      </c>
      <c r="AJ181" s="129">
        <f>AJ24</f>
        <v>66561746.666666672</v>
      </c>
      <c r="AK181" s="129">
        <f ca="1">AK24</f>
        <v>74403158</v>
      </c>
      <c r="AL181" s="130">
        <f ca="1">AL24</f>
        <v>-2091467.6666666665</v>
      </c>
      <c r="AM181" s="72"/>
      <c r="AN181" s="272">
        <f>AN24</f>
        <v>13492349.333333332</v>
      </c>
      <c r="AO181" s="273"/>
      <c r="AP181" s="129">
        <f ca="1">AP24</f>
        <v>14785357</v>
      </c>
      <c r="AQ181" s="129">
        <f>AQ24</f>
        <v>80054096</v>
      </c>
      <c r="AR181" s="129">
        <f ca="1">AR24</f>
        <v>89188515</v>
      </c>
      <c r="AS181" s="130">
        <f ca="1">AS24</f>
        <v>-1293007.6666666665</v>
      </c>
      <c r="AT181" s="72"/>
      <c r="AU181" s="278">
        <f>AU24</f>
        <v>13592349.333333332</v>
      </c>
      <c r="AV181" s="279"/>
      <c r="AW181" s="182">
        <f ca="1">AW24</f>
        <v>16222965</v>
      </c>
      <c r="AX181" s="182">
        <f>AX24</f>
        <v>93546445.333333343</v>
      </c>
      <c r="AY181" s="182">
        <f ca="1">AY24</f>
        <v>105411480</v>
      </c>
      <c r="AZ181" s="183">
        <f ca="1">AZ24</f>
        <v>-2730615.6666666665</v>
      </c>
      <c r="BA181" s="149"/>
      <c r="BB181" s="278">
        <f>BB24</f>
        <v>13592349.333333332</v>
      </c>
      <c r="BC181" s="279"/>
      <c r="BD181" s="182">
        <f ca="1">BD24</f>
        <v>15583817</v>
      </c>
      <c r="BE181" s="182">
        <f>BE24</f>
        <v>107038794.66666666</v>
      </c>
      <c r="BF181" s="182">
        <f ca="1">BF24</f>
        <v>120995297</v>
      </c>
      <c r="BG181" s="183">
        <f ca="1">BG24</f>
        <v>-2091467.6666666665</v>
      </c>
      <c r="BH181" s="149"/>
      <c r="BI181" s="278">
        <f>BI24</f>
        <v>13592349.333333332</v>
      </c>
      <c r="BJ181" s="279"/>
      <c r="BK181" s="182">
        <f ca="1">BK24</f>
        <v>0</v>
      </c>
      <c r="BL181" s="182">
        <f>BL24</f>
        <v>120531144</v>
      </c>
      <c r="BM181" s="182">
        <f ca="1">BM24</f>
        <v>0</v>
      </c>
      <c r="BN181" s="183">
        <f ca="1">BN24</f>
        <v>13492349.333333332</v>
      </c>
      <c r="BO181" s="149"/>
      <c r="BP181" s="278">
        <f>BP24</f>
        <v>13592349.333333332</v>
      </c>
      <c r="BQ181" s="279"/>
      <c r="BR181" s="182">
        <f ca="1">BR24</f>
        <v>0</v>
      </c>
      <c r="BS181" s="182">
        <f>BS24</f>
        <v>134023493.33333334</v>
      </c>
      <c r="BT181" s="182">
        <f ca="1">BT24</f>
        <v>0</v>
      </c>
      <c r="BU181" s="183">
        <f ca="1">BU24</f>
        <v>13492349.333333332</v>
      </c>
      <c r="BV181" s="149"/>
      <c r="BW181" s="278">
        <f>BW24</f>
        <v>13592349.333333332</v>
      </c>
      <c r="BX181" s="279"/>
      <c r="BY181" s="182">
        <f ca="1">BY24</f>
        <v>0</v>
      </c>
      <c r="BZ181" s="182">
        <f>BZ24</f>
        <v>147515842.66666669</v>
      </c>
      <c r="CA181" s="182">
        <f ca="1">CA24</f>
        <v>0</v>
      </c>
      <c r="CB181" s="183">
        <f ca="1">CB24</f>
        <v>13492349.333333332</v>
      </c>
      <c r="CC181" s="149"/>
      <c r="CD181" s="278">
        <f>CD24</f>
        <v>13592349.333333332</v>
      </c>
      <c r="CE181" s="279"/>
      <c r="CF181" s="182">
        <f ca="1">CF24</f>
        <v>0</v>
      </c>
      <c r="CG181" s="182">
        <f>CG24</f>
        <v>161008192</v>
      </c>
      <c r="CH181" s="182">
        <f ca="1">CH24</f>
        <v>0</v>
      </c>
      <c r="CI181" s="183">
        <f ca="1">CI24</f>
        <v>13492349.333333332</v>
      </c>
      <c r="CJ181" s="4"/>
      <c r="CK181" s="4"/>
      <c r="CL181" s="4"/>
    </row>
    <row r="182" spans="1:90" s="1" customFormat="1" ht="15.75" thickBot="1">
      <c r="A182" s="267" t="s">
        <v>84</v>
      </c>
      <c r="B182" s="267"/>
      <c r="C182" s="106">
        <f ca="1">C41</f>
        <v>361518370.13999999</v>
      </c>
      <c r="D182" s="74"/>
      <c r="E182" s="274">
        <f ca="1">E41</f>
        <v>27681049.65560605</v>
      </c>
      <c r="F182" s="275"/>
      <c r="G182" s="131">
        <f ca="1">G41</f>
        <v>27093140.919999998</v>
      </c>
      <c r="H182" s="131">
        <f ca="1">H41</f>
        <v>27681049.65560605</v>
      </c>
      <c r="I182" s="131">
        <f ca="1">I41</f>
        <v>27093140.919999998</v>
      </c>
      <c r="J182" s="132">
        <f ca="1">J41</f>
        <v>-587908.73560606036</v>
      </c>
      <c r="K182" s="74"/>
      <c r="L182" s="274">
        <f ca="1">L41</f>
        <v>29998666.38287878</v>
      </c>
      <c r="M182" s="275"/>
      <c r="N182" s="131">
        <f ca="1">N41</f>
        <v>27572009.109999988</v>
      </c>
      <c r="O182" s="131">
        <f ca="1">O41</f>
        <v>57679716.038484827</v>
      </c>
      <c r="P182" s="131">
        <f ca="1">P41</f>
        <v>54665150.029999971</v>
      </c>
      <c r="Q182" s="132">
        <f ca="1">Q41</f>
        <v>2426657.2728788089</v>
      </c>
      <c r="R182" s="74"/>
      <c r="S182" s="274">
        <f ca="1">S41</f>
        <v>29998666.38287878</v>
      </c>
      <c r="T182" s="275"/>
      <c r="U182" s="131">
        <f ca="1">U41</f>
        <v>32818800.769999992</v>
      </c>
      <c r="V182" s="131">
        <f ca="1">V41</f>
        <v>87678382.421363622</v>
      </c>
      <c r="W182" s="131">
        <f ca="1">W41</f>
        <v>87483950.799999997</v>
      </c>
      <c r="X182" s="132">
        <f ca="1">X41</f>
        <v>-2820134.3871211968</v>
      </c>
      <c r="Y182" s="74"/>
      <c r="Z182" s="274">
        <f ca="1">Z41</f>
        <v>29998666.38287878</v>
      </c>
      <c r="AA182" s="275"/>
      <c r="AB182" s="131">
        <f ca="1">AB41</f>
        <v>30679265.949999996</v>
      </c>
      <c r="AC182" s="131">
        <f ca="1">AC41</f>
        <v>117677048.8042424</v>
      </c>
      <c r="AD182" s="131">
        <f ca="1">AD41</f>
        <v>118163216.75</v>
      </c>
      <c r="AE182" s="132">
        <f ca="1">AE41</f>
        <v>-680599.56712121214</v>
      </c>
      <c r="AF182" s="74"/>
      <c r="AG182" s="274">
        <f ca="1">AG41</f>
        <v>30082699.38287878</v>
      </c>
      <c r="AH182" s="275"/>
      <c r="AI182" s="131">
        <f ca="1">AI41</f>
        <v>30688908.570000008</v>
      </c>
      <c r="AJ182" s="131">
        <f ca="1">AJ41</f>
        <v>147759748.18712121</v>
      </c>
      <c r="AK182" s="131">
        <f ca="1">AK41</f>
        <v>148852125.31999999</v>
      </c>
      <c r="AL182" s="132">
        <f ca="1">AL41</f>
        <v>-606209.18712121632</v>
      </c>
      <c r="AM182" s="74"/>
      <c r="AN182" s="274">
        <f ca="1">AN41</f>
        <v>31320816.38287878</v>
      </c>
      <c r="AO182" s="275"/>
      <c r="AP182" s="131">
        <f ca="1">AP41</f>
        <v>31907059.75000003</v>
      </c>
      <c r="AQ182" s="131">
        <f ca="1">AQ41</f>
        <v>179080564.56999999</v>
      </c>
      <c r="AR182" s="131">
        <f ca="1">AR41</f>
        <v>180759185.06999999</v>
      </c>
      <c r="AS182" s="132">
        <f ca="1">AS41</f>
        <v>-586243.36712123989</v>
      </c>
      <c r="AT182" s="74"/>
      <c r="AU182" s="274">
        <f ca="1">AU41</f>
        <v>29998666.38287878</v>
      </c>
      <c r="AV182" s="275"/>
      <c r="AW182" s="131">
        <f ca="1">AW41</f>
        <v>42146005.63000001</v>
      </c>
      <c r="AX182" s="131">
        <f ca="1">AX41</f>
        <v>209079230.9528788</v>
      </c>
      <c r="AY182" s="131">
        <f ca="1">AY41</f>
        <v>228939900.11999997</v>
      </c>
      <c r="AZ182" s="132">
        <f ca="1">AZ41</f>
        <v>-12147339.247121217</v>
      </c>
      <c r="BA182" s="74"/>
      <c r="BB182" s="274">
        <f ca="1">BB41</f>
        <v>29998666.38287878</v>
      </c>
      <c r="BC182" s="275"/>
      <c r="BD182" s="131">
        <f ca="1">BD41</f>
        <v>20804516.059999999</v>
      </c>
      <c r="BE182" s="131">
        <f ca="1">BE41</f>
        <v>239077897.33575752</v>
      </c>
      <c r="BF182" s="131">
        <f ca="1">BF41</f>
        <v>249744416.17999998</v>
      </c>
      <c r="BG182" s="132">
        <f ca="1">BG41</f>
        <v>9194150.3228787966</v>
      </c>
      <c r="BH182" s="74"/>
      <c r="BI182" s="274">
        <f ca="1">BI41</f>
        <v>29998666.38287878</v>
      </c>
      <c r="BJ182" s="275"/>
      <c r="BK182" s="131">
        <f ca="1">BK41</f>
        <v>0</v>
      </c>
      <c r="BL182" s="131">
        <f ca="1">BL41</f>
        <v>269076563.71863639</v>
      </c>
      <c r="BM182" s="131">
        <f ca="1">BM41</f>
        <v>0</v>
      </c>
      <c r="BN182" s="132">
        <f ca="1">BN41</f>
        <v>29998666.38287878</v>
      </c>
      <c r="BO182" s="74"/>
      <c r="BP182" s="274">
        <f ca="1">BP41</f>
        <v>29998666.38287878</v>
      </c>
      <c r="BQ182" s="275"/>
      <c r="BR182" s="131">
        <f ca="1">BR41</f>
        <v>0</v>
      </c>
      <c r="BS182" s="131">
        <f ca="1">BS41</f>
        <v>299075230.10151517</v>
      </c>
      <c r="BT182" s="131">
        <f ca="1">BT41</f>
        <v>0</v>
      </c>
      <c r="BU182" s="132">
        <f ca="1">BU41</f>
        <v>29998666.38287878</v>
      </c>
      <c r="BV182" s="74"/>
      <c r="BW182" s="274">
        <f ca="1">BW41</f>
        <v>29998666.38287878</v>
      </c>
      <c r="BX182" s="275"/>
      <c r="BY182" s="131">
        <f ca="1">BY41</f>
        <v>0</v>
      </c>
      <c r="BZ182" s="131">
        <f ca="1">BZ41</f>
        <v>329073896.48439384</v>
      </c>
      <c r="CA182" s="131">
        <f ca="1">CA41</f>
        <v>0</v>
      </c>
      <c r="CB182" s="132">
        <f ca="1">CB41</f>
        <v>29998666.38287878</v>
      </c>
      <c r="CC182" s="74"/>
      <c r="CD182" s="274">
        <f ca="1">CD41</f>
        <v>29998666.38287878</v>
      </c>
      <c r="CE182" s="275"/>
      <c r="CF182" s="131">
        <f ca="1">CF41</f>
        <v>0</v>
      </c>
      <c r="CG182" s="131">
        <f ca="1">CG41</f>
        <v>367668906.82727271</v>
      </c>
      <c r="CH182" s="131">
        <f ca="1">CH41</f>
        <v>0</v>
      </c>
      <c r="CI182" s="132">
        <f ca="1">CI41</f>
        <v>29998666.38287878</v>
      </c>
      <c r="CJ182" s="66"/>
      <c r="CK182" s="66"/>
      <c r="CL182" s="66"/>
    </row>
  </sheetData>
  <mergeCells count="233">
    <mergeCell ref="BW180:BX180"/>
    <mergeCell ref="BW181:BX181"/>
    <mergeCell ref="BW182:BX182"/>
    <mergeCell ref="CD180:CE180"/>
    <mergeCell ref="CD181:CE181"/>
    <mergeCell ref="CD182:CE182"/>
    <mergeCell ref="BB180:BC180"/>
    <mergeCell ref="BB181:BC181"/>
    <mergeCell ref="BB182:BC182"/>
    <mergeCell ref="BI180:BJ180"/>
    <mergeCell ref="BI181:BJ181"/>
    <mergeCell ref="BI182:BJ182"/>
    <mergeCell ref="BP180:BQ180"/>
    <mergeCell ref="BP181:BQ181"/>
    <mergeCell ref="BP182:BQ182"/>
    <mergeCell ref="AG180:AH180"/>
    <mergeCell ref="AG181:AH181"/>
    <mergeCell ref="AG182:AH182"/>
    <mergeCell ref="AN180:AO180"/>
    <mergeCell ref="AN181:AO181"/>
    <mergeCell ref="AN182:AO182"/>
    <mergeCell ref="AU180:AV180"/>
    <mergeCell ref="AU181:AV181"/>
    <mergeCell ref="AU182:AV182"/>
    <mergeCell ref="L180:M180"/>
    <mergeCell ref="L181:M181"/>
    <mergeCell ref="L182:M182"/>
    <mergeCell ref="S180:T180"/>
    <mergeCell ref="S181:T181"/>
    <mergeCell ref="S182:T182"/>
    <mergeCell ref="Z180:AA180"/>
    <mergeCell ref="Z181:AA181"/>
    <mergeCell ref="Z182:AA182"/>
    <mergeCell ref="A180:B180"/>
    <mergeCell ref="A181:B181"/>
    <mergeCell ref="A182:B182"/>
    <mergeCell ref="A172:B172"/>
    <mergeCell ref="A174:B174"/>
    <mergeCell ref="A176:B176"/>
    <mergeCell ref="E180:F180"/>
    <mergeCell ref="E181:F181"/>
    <mergeCell ref="E182:F182"/>
    <mergeCell ref="E172:F172"/>
    <mergeCell ref="A163:B163"/>
    <mergeCell ref="A15:B15"/>
    <mergeCell ref="A21:B21"/>
    <mergeCell ref="A24:B24"/>
    <mergeCell ref="A38:B38"/>
    <mergeCell ref="A39:B39"/>
    <mergeCell ref="E1:J1"/>
    <mergeCell ref="L1:Q1"/>
    <mergeCell ref="A42:B42"/>
    <mergeCell ref="A135:B135"/>
    <mergeCell ref="A4:B4"/>
    <mergeCell ref="A6:B6"/>
    <mergeCell ref="E2:F2"/>
    <mergeCell ref="E4:F4"/>
    <mergeCell ref="E6:F6"/>
    <mergeCell ref="E15:F15"/>
    <mergeCell ref="E21:F21"/>
    <mergeCell ref="L2:M2"/>
    <mergeCell ref="L4:M4"/>
    <mergeCell ref="L15:M15"/>
    <mergeCell ref="L21:M21"/>
    <mergeCell ref="E135:F135"/>
    <mergeCell ref="E150:F150"/>
    <mergeCell ref="E163:F163"/>
    <mergeCell ref="BP1:BU1"/>
    <mergeCell ref="BW1:CB1"/>
    <mergeCell ref="CD1:CI1"/>
    <mergeCell ref="S1:X1"/>
    <mergeCell ref="Z1:AE1"/>
    <mergeCell ref="AG1:AL1"/>
    <mergeCell ref="AN1:AS1"/>
    <mergeCell ref="AU1:AZ1"/>
    <mergeCell ref="A150:B150"/>
    <mergeCell ref="L6:M6"/>
    <mergeCell ref="S2:T2"/>
    <mergeCell ref="S4:T4"/>
    <mergeCell ref="S6:T6"/>
    <mergeCell ref="Z2:AA2"/>
    <mergeCell ref="Z4:AA4"/>
    <mergeCell ref="Z6:AA6"/>
    <mergeCell ref="BB1:BG1"/>
    <mergeCell ref="BI1:BN1"/>
    <mergeCell ref="AU2:AV2"/>
    <mergeCell ref="AU4:AV4"/>
    <mergeCell ref="AU6:AV6"/>
    <mergeCell ref="BB2:BC2"/>
    <mergeCell ref="BB4:BC4"/>
    <mergeCell ref="BB6:BC6"/>
    <mergeCell ref="AG2:AH2"/>
    <mergeCell ref="AG4:AH4"/>
    <mergeCell ref="AG6:AH6"/>
    <mergeCell ref="AN2:AO2"/>
    <mergeCell ref="AN4:AO4"/>
    <mergeCell ref="AN6:AO6"/>
    <mergeCell ref="BW2:BX2"/>
    <mergeCell ref="BW4:BX4"/>
    <mergeCell ref="BW6:BX6"/>
    <mergeCell ref="CD2:CE2"/>
    <mergeCell ref="CD4:CE4"/>
    <mergeCell ref="CD6:CE6"/>
    <mergeCell ref="BI2:BJ2"/>
    <mergeCell ref="BI4:BJ4"/>
    <mergeCell ref="BI6:BJ6"/>
    <mergeCell ref="BP2:BQ2"/>
    <mergeCell ref="BP4:BQ4"/>
    <mergeCell ref="BP6:BQ6"/>
    <mergeCell ref="L24:M24"/>
    <mergeCell ref="L38:M38"/>
    <mergeCell ref="L39:M39"/>
    <mergeCell ref="L41:M41"/>
    <mergeCell ref="L42:M42"/>
    <mergeCell ref="L135:M135"/>
    <mergeCell ref="L150:M150"/>
    <mergeCell ref="L163:M163"/>
    <mergeCell ref="L172:M172"/>
    <mergeCell ref="E24:F24"/>
    <mergeCell ref="E38:F38"/>
    <mergeCell ref="E41:F41"/>
    <mergeCell ref="E42:F42"/>
    <mergeCell ref="E39:F39"/>
    <mergeCell ref="S172:T172"/>
    <mergeCell ref="Z15:AA15"/>
    <mergeCell ref="Z21:AA21"/>
    <mergeCell ref="Z24:AA24"/>
    <mergeCell ref="Z38:AA38"/>
    <mergeCell ref="Z39:AA39"/>
    <mergeCell ref="Z41:AA41"/>
    <mergeCell ref="Z42:AA42"/>
    <mergeCell ref="Z135:AA135"/>
    <mergeCell ref="Z150:AA150"/>
    <mergeCell ref="Z163:AA163"/>
    <mergeCell ref="Z172:AA172"/>
    <mergeCell ref="S41:T41"/>
    <mergeCell ref="S42:T42"/>
    <mergeCell ref="S135:T135"/>
    <mergeCell ref="S150:T150"/>
    <mergeCell ref="S163:T163"/>
    <mergeCell ref="S15:T15"/>
    <mergeCell ref="S21:T21"/>
    <mergeCell ref="S24:T24"/>
    <mergeCell ref="S38:T38"/>
    <mergeCell ref="S39:T39"/>
    <mergeCell ref="AG172:AH172"/>
    <mergeCell ref="AN15:AO15"/>
    <mergeCell ref="AN21:AO21"/>
    <mergeCell ref="AN24:AO24"/>
    <mergeCell ref="AN38:AO38"/>
    <mergeCell ref="AN39:AO39"/>
    <mergeCell ref="AN41:AO41"/>
    <mergeCell ref="AN42:AO42"/>
    <mergeCell ref="AN135:AO135"/>
    <mergeCell ref="AN150:AO150"/>
    <mergeCell ref="AN163:AO163"/>
    <mergeCell ref="AN172:AO172"/>
    <mergeCell ref="AG41:AH41"/>
    <mergeCell ref="AG42:AH42"/>
    <mergeCell ref="AG135:AH135"/>
    <mergeCell ref="AG150:AH150"/>
    <mergeCell ref="AG163:AH163"/>
    <mergeCell ref="AG15:AH15"/>
    <mergeCell ref="AG21:AH21"/>
    <mergeCell ref="AG24:AH24"/>
    <mergeCell ref="AG38:AH38"/>
    <mergeCell ref="AG39:AH39"/>
    <mergeCell ref="AU172:AV172"/>
    <mergeCell ref="BB15:BC15"/>
    <mergeCell ref="BB21:BC21"/>
    <mergeCell ref="BB24:BC24"/>
    <mergeCell ref="BB38:BC38"/>
    <mergeCell ref="BB39:BC39"/>
    <mergeCell ref="BB41:BC41"/>
    <mergeCell ref="BB42:BC42"/>
    <mergeCell ref="BB135:BC135"/>
    <mergeCell ref="BB150:BC150"/>
    <mergeCell ref="BB163:BC163"/>
    <mergeCell ref="BB172:BC172"/>
    <mergeCell ref="AU41:AV41"/>
    <mergeCell ref="AU42:AV42"/>
    <mergeCell ref="AU135:AV135"/>
    <mergeCell ref="AU150:AV150"/>
    <mergeCell ref="AU163:AV163"/>
    <mergeCell ref="AU15:AV15"/>
    <mergeCell ref="AU21:AV21"/>
    <mergeCell ref="AU24:AV24"/>
    <mergeCell ref="AU38:AV38"/>
    <mergeCell ref="AU39:AV39"/>
    <mergeCell ref="BI172:BJ172"/>
    <mergeCell ref="BP15:BQ15"/>
    <mergeCell ref="BP21:BQ21"/>
    <mergeCell ref="BP24:BQ24"/>
    <mergeCell ref="BP38:BQ38"/>
    <mergeCell ref="BP39:BQ39"/>
    <mergeCell ref="BP41:BQ41"/>
    <mergeCell ref="BP42:BQ42"/>
    <mergeCell ref="BP135:BQ135"/>
    <mergeCell ref="BP150:BQ150"/>
    <mergeCell ref="BP163:BQ163"/>
    <mergeCell ref="BP172:BQ172"/>
    <mergeCell ref="BI41:BJ41"/>
    <mergeCell ref="BI42:BJ42"/>
    <mergeCell ref="BI135:BJ135"/>
    <mergeCell ref="BI150:BJ150"/>
    <mergeCell ref="BI163:BJ163"/>
    <mergeCell ref="BI15:BJ15"/>
    <mergeCell ref="BI21:BJ21"/>
    <mergeCell ref="BI24:BJ24"/>
    <mergeCell ref="BI38:BJ38"/>
    <mergeCell ref="BI39:BJ39"/>
    <mergeCell ref="BW172:BX172"/>
    <mergeCell ref="CD15:CE15"/>
    <mergeCell ref="CD21:CE21"/>
    <mergeCell ref="CD24:CE24"/>
    <mergeCell ref="CD38:CE38"/>
    <mergeCell ref="CD39:CE39"/>
    <mergeCell ref="CD41:CE41"/>
    <mergeCell ref="CD42:CE42"/>
    <mergeCell ref="CD135:CE135"/>
    <mergeCell ref="CD150:CE150"/>
    <mergeCell ref="CD163:CE163"/>
    <mergeCell ref="CD172:CE172"/>
    <mergeCell ref="BW41:BX41"/>
    <mergeCell ref="BW42:BX42"/>
    <mergeCell ref="BW135:BX135"/>
    <mergeCell ref="BW150:BX150"/>
    <mergeCell ref="BW163:BX163"/>
    <mergeCell ref="BW15:BX15"/>
    <mergeCell ref="BW21:BX21"/>
    <mergeCell ref="BW24:BX24"/>
    <mergeCell ref="BW38:BX38"/>
    <mergeCell ref="BW39:BX39"/>
  </mergeCells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AR12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DF58-8D75-4FC7-A9F3-D363634C6D56}">
  <sheetPr codeName="Hoja7"/>
  <dimension ref="A1:O300"/>
  <sheetViews>
    <sheetView topLeftCell="B1" zoomScaleNormal="100" workbookViewId="0">
      <pane ySplit="2" topLeftCell="A95" activePane="bottomLeft" state="frozen"/>
      <selection activeCell="P17" sqref="P17"/>
      <selection pane="bottomLeft" activeCell="B109" sqref="B109"/>
    </sheetView>
  </sheetViews>
  <sheetFormatPr baseColWidth="10" defaultRowHeight="15"/>
  <cols>
    <col min="1" max="1" width="11.42578125" hidden="1" customWidth="1"/>
    <col min="2" max="2" width="11.42578125" style="52"/>
    <col min="3" max="3" width="45.7109375" customWidth="1"/>
    <col min="4" max="4" width="13" style="54" customWidth="1"/>
    <col min="5" max="5" width="12.42578125" style="54" customWidth="1"/>
    <col min="6" max="6" width="13" style="54" customWidth="1"/>
    <col min="7" max="7" width="12.85546875" style="54" customWidth="1"/>
    <col min="9" max="9" width="12.85546875" hidden="1" customWidth="1"/>
    <col min="10" max="10" width="0" hidden="1" customWidth="1"/>
    <col min="11" max="11" width="27.85546875" hidden="1" customWidth="1"/>
    <col min="12" max="12" width="14.28515625" hidden="1" customWidth="1"/>
    <col min="13" max="13" width="12.5703125" hidden="1" customWidth="1"/>
    <col min="15" max="15" width="14" customWidth="1"/>
  </cols>
  <sheetData>
    <row r="1" spans="1:15">
      <c r="B1" s="284" t="s">
        <v>94</v>
      </c>
      <c r="C1" s="285"/>
      <c r="D1" s="286" t="s">
        <v>265</v>
      </c>
      <c r="E1" s="288" t="s">
        <v>266</v>
      </c>
      <c r="F1" s="289"/>
      <c r="G1" s="286" t="s">
        <v>267</v>
      </c>
    </row>
    <row r="2" spans="1:15">
      <c r="B2" s="51" t="s">
        <v>268</v>
      </c>
      <c r="C2" s="51" t="s">
        <v>269</v>
      </c>
      <c r="D2" s="287"/>
      <c r="E2" s="65" t="s">
        <v>270</v>
      </c>
      <c r="F2" s="65" t="s">
        <v>271</v>
      </c>
      <c r="G2" s="287"/>
      <c r="N2" s="27"/>
      <c r="O2" s="28"/>
    </row>
    <row r="3" spans="1:15">
      <c r="A3">
        <f>IFERROR(IF(B3="",0,IF(VALUE(LEFT(B3,1))&gt;3,VLOOKUP(VALUE(B3),PROYECCIONES!B:D,3,FALSE),0)),1 + COUNTIF($A$2:A2,"&gt;0"))</f>
        <v>0</v>
      </c>
      <c r="B3" s="52" t="s">
        <v>358</v>
      </c>
      <c r="C3" s="52" t="s">
        <v>359</v>
      </c>
      <c r="D3" s="53">
        <v>3385</v>
      </c>
      <c r="E3" s="53">
        <v>2617915</v>
      </c>
      <c r="F3" s="53">
        <v>2470500</v>
      </c>
      <c r="G3" s="53">
        <v>150800</v>
      </c>
      <c r="I3">
        <f>COUNTIF(A3:A300,"&gt;0")</f>
        <v>0</v>
      </c>
      <c r="J3" t="s">
        <v>3</v>
      </c>
      <c r="K3" t="s">
        <v>223</v>
      </c>
      <c r="L3" t="s">
        <v>224</v>
      </c>
      <c r="N3" s="27"/>
      <c r="O3" s="28"/>
    </row>
    <row r="4" spans="1:15">
      <c r="A4">
        <f>IFERROR(IF(B4="",0,IF(VALUE(LEFT(B4,1))&gt;3,VLOOKUP(VALUE(B4),PROYECCIONES!B:D,3,FALSE),0)),1 + COUNTIF($A$2:A3,"&gt;0"))</f>
        <v>0</v>
      </c>
      <c r="B4" s="52" t="s">
        <v>548</v>
      </c>
      <c r="C4" s="52" t="s">
        <v>549</v>
      </c>
      <c r="D4" s="53">
        <v>0</v>
      </c>
      <c r="E4" s="53">
        <v>400000</v>
      </c>
      <c r="F4" s="53">
        <v>0</v>
      </c>
      <c r="G4" s="53">
        <v>400000</v>
      </c>
      <c r="I4" s="123">
        <v>1</v>
      </c>
      <c r="J4" t="str">
        <f>IFERROR(VLOOKUP(I4,'Balance a Jun'!$A$3:$C$300,2,FALSE),"")</f>
        <v/>
      </c>
      <c r="K4" t="str">
        <f>IFERROR(VLOOKUP(I4,'Balance a Jun'!$A$3:$C$300,3,FALSE),"")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  <c r="N4" s="27"/>
      <c r="O4" s="28"/>
    </row>
    <row r="5" spans="1:15">
      <c r="A5">
        <f>IFERROR(IF(B5="",0,IF(VALUE(LEFT(B5,1))&gt;3,VLOOKUP(VALUE(B5),PROYECCIONES!B:D,3,FALSE),0)),1 + COUNTIF($A$2:A4,"&gt;0"))</f>
        <v>0</v>
      </c>
      <c r="B5" s="52" t="s">
        <v>272</v>
      </c>
      <c r="C5" s="52" t="s">
        <v>468</v>
      </c>
      <c r="D5" s="53">
        <v>3602229.1400008202</v>
      </c>
      <c r="E5" s="53">
        <v>317941221.77999997</v>
      </c>
      <c r="F5" s="53">
        <v>321228302.80000001</v>
      </c>
      <c r="G5" s="53">
        <v>315148.120000839</v>
      </c>
      <c r="I5" s="123">
        <v>2</v>
      </c>
      <c r="J5" t="str">
        <f>IFERROR(VLOOKUP(I5,'Balance a Jun'!$A$3:$C$300,2,FALSE),"")</f>
        <v/>
      </c>
      <c r="K5" t="str">
        <f>IFERROR(VLOOKUP(I5,'Balance a Jun'!$A$3:$C$300,3,FALSE),"")</f>
        <v/>
      </c>
      <c r="L5" t="str">
        <f>IFERROR(IF(AND(VALUE(LEFT(J5,1))&gt;=6,VALUE(LEFT(J5,1))&lt;=7),_xlfn.XMATCH(VALUE(J5),PROYECCIONES!$B$1:$B$38,-1,1),_xlfn.XMATCH(VALUE(J5),PROYECCIONES!$B$1:$B$333,-1,1)),"")</f>
        <v/>
      </c>
      <c r="N5" s="27"/>
      <c r="O5" s="28"/>
    </row>
    <row r="6" spans="1:15">
      <c r="A6">
        <f>IFERROR(IF(B6="",0,IF(VALUE(LEFT(B6,1))&gt;3,VLOOKUP(VALUE(B6),PROYECCIONES!B:D,3,FALSE),0)),1 + COUNTIF($A$2:A5,"&gt;0"))</f>
        <v>0</v>
      </c>
      <c r="B6" s="52" t="s">
        <v>273</v>
      </c>
      <c r="C6" s="52" t="s">
        <v>469</v>
      </c>
      <c r="D6" s="53">
        <v>2038.61000000685</v>
      </c>
      <c r="E6" s="53">
        <v>0</v>
      </c>
      <c r="F6" s="53">
        <v>0</v>
      </c>
      <c r="G6" s="53">
        <v>2038.61000000685</v>
      </c>
      <c r="I6" s="123">
        <v>3</v>
      </c>
      <c r="J6" t="str">
        <f>IFERROR(VLOOKUP(I6,'Balance a Jun'!$A$3:$C$300,2,FALSE),"")</f>
        <v/>
      </c>
      <c r="K6" t="str">
        <f>IFERROR(VLOOKUP(I6,'Balance a Jun'!$A$3:$C$300,3,FALSE),"")</f>
        <v/>
      </c>
      <c r="L6" t="str">
        <f>IFERROR(IF(AND(VALUE(LEFT(J6,1))&gt;=6,VALUE(LEFT(J6,1))&lt;=7),_xlfn.XMATCH(VALUE(J6),PROYECCIONES!$B$1:$B$38,-1,1),_xlfn.XMATCH(VALUE(J6),PROYECCIONES!$B$1:$B$333,-1,1)),"")</f>
        <v/>
      </c>
      <c r="N6" s="27"/>
      <c r="O6" s="28"/>
    </row>
    <row r="7" spans="1:15">
      <c r="A7">
        <f>IFERROR(IF(B7="",0,IF(VALUE(LEFT(B7,1))&gt;3,VLOOKUP(VALUE(B7),PROYECCIONES!B:D,3,FALSE),0)),1 + COUNTIF($A$2:A6,"&gt;0"))</f>
        <v>0</v>
      </c>
      <c r="B7" s="52" t="s">
        <v>418</v>
      </c>
      <c r="C7" s="52" t="s">
        <v>470</v>
      </c>
      <c r="D7" s="53">
        <v>30748859.73</v>
      </c>
      <c r="E7" s="53">
        <v>126401860</v>
      </c>
      <c r="F7" s="53">
        <v>132412546.84999999</v>
      </c>
      <c r="G7" s="53">
        <v>24738172.879999999</v>
      </c>
      <c r="I7" s="123">
        <v>4</v>
      </c>
      <c r="J7" t="str">
        <f>IFERROR(VLOOKUP(I7,'Balance a Jun'!$A$3:$C$300,2,FALSE),"")</f>
        <v/>
      </c>
      <c r="K7" t="str">
        <f>IFERROR(VLOOKUP(I7,'Balance a Jun'!$A$3:$C$300,3,FALSE),"")</f>
        <v/>
      </c>
      <c r="L7" t="str">
        <f>IFERROR(IF(AND(VALUE(LEFT(J7,1))&gt;=6,VALUE(LEFT(J7,1))&lt;=7),_xlfn.XMATCH(VALUE(J7),PROYECCIONES!$B$1:$B$38,-1,1),_xlfn.XMATCH(VALUE(J7),PROYECCIONES!$B$1:$B$333,-1,1)),"")</f>
        <v/>
      </c>
      <c r="N7" s="27"/>
      <c r="O7" s="28"/>
    </row>
    <row r="8" spans="1:15">
      <c r="A8">
        <f>IFERROR(IF(B8="",0,IF(VALUE(LEFT(B8,1))&gt;3,VLOOKUP(VALUE(B8),PROYECCIONES!B:D,3,FALSE),0)),1 + COUNTIF($A$2:A7,"&gt;0"))</f>
        <v>0</v>
      </c>
      <c r="B8" s="52" t="s">
        <v>118</v>
      </c>
      <c r="C8" s="52" t="s">
        <v>225</v>
      </c>
      <c r="D8" s="53">
        <v>38903066.089999899</v>
      </c>
      <c r="E8" s="53">
        <v>424316101.91000003</v>
      </c>
      <c r="F8" s="53">
        <v>410299440</v>
      </c>
      <c r="G8" s="53">
        <v>52919728</v>
      </c>
      <c r="I8" s="123">
        <v>5</v>
      </c>
      <c r="J8" t="str">
        <f>IFERROR(VLOOKUP(I8,'Balance a Jun'!$A$3:$C$300,2,FALSE),"")</f>
        <v/>
      </c>
      <c r="K8" t="str">
        <f>IFERROR(VLOOKUP(I8,'Balance a Jun'!$A$3:$C$300,3,FALSE),"")</f>
        <v/>
      </c>
      <c r="L8" t="str">
        <f>IFERROR(IF(AND(VALUE(LEFT(J8,1))&gt;=6,VALUE(LEFT(J8,1))&lt;=7),_xlfn.XMATCH(VALUE(J8),PROYECCIONES!$B$1:$B$38,-1,1),_xlfn.XMATCH(VALUE(J8),PROYECCIONES!$B$1:$B$333,-1,1)),"")</f>
        <v/>
      </c>
      <c r="N8" s="27"/>
      <c r="O8" s="28"/>
    </row>
    <row r="9" spans="1:15">
      <c r="A9">
        <f>IFERROR(IF(B9="",0,IF(VALUE(LEFT(B9,1))&gt;3,VLOOKUP(VALUE(B9),PROYECCIONES!B:D,3,FALSE),0)),1 + COUNTIF($A$2:A8,"&gt;0"))</f>
        <v>0</v>
      </c>
      <c r="B9" s="52" t="s">
        <v>274</v>
      </c>
      <c r="C9" s="52" t="s">
        <v>226</v>
      </c>
      <c r="D9" s="53">
        <v>239052845.71000001</v>
      </c>
      <c r="E9" s="53">
        <v>67296113.769999996</v>
      </c>
      <c r="F9" s="53">
        <v>32854386.68</v>
      </c>
      <c r="G9" s="53">
        <v>273494572.80000001</v>
      </c>
      <c r="I9" s="123">
        <v>6</v>
      </c>
      <c r="J9" t="str">
        <f>IFERROR(VLOOKUP(I9,'Balance a Jun'!$A$3:$C$300,2,FALSE),"")</f>
        <v/>
      </c>
      <c r="K9" t="str">
        <f>IFERROR(VLOOKUP(I9,'Balance a Jun'!$A$3:$C$300,3,FALSE),"")</f>
        <v/>
      </c>
      <c r="L9" t="str">
        <f>IFERROR(IF(AND(VALUE(LEFT(J9,1))&gt;=6,VALUE(LEFT(J9,1))&lt;=7),_xlfn.XMATCH(VALUE(J9),PROYECCIONES!$B$1:$B$38,-1,1),_xlfn.XMATCH(VALUE(J9),PROYECCIONES!$B$1:$B$333,-1,1)),"")</f>
        <v/>
      </c>
    </row>
    <row r="10" spans="1:15">
      <c r="A10">
        <f>IFERROR(IF(B10="",0,IF(VALUE(LEFT(B10,1))&gt;3,VLOOKUP(VALUE(B10),PROYECCIONES!B:D,3,FALSE),0)),1 + COUNTIF($A$2:A9,"&gt;0"))</f>
        <v>0</v>
      </c>
      <c r="B10" s="52" t="s">
        <v>275</v>
      </c>
      <c r="C10" s="52" t="s">
        <v>227</v>
      </c>
      <c r="D10" s="53">
        <v>14200000</v>
      </c>
      <c r="E10" s="53">
        <v>32900000</v>
      </c>
      <c r="F10" s="53">
        <v>0</v>
      </c>
      <c r="G10" s="53">
        <v>47100000</v>
      </c>
      <c r="I10" s="123">
        <v>7</v>
      </c>
      <c r="J10" t="str">
        <f>IFERROR(VLOOKUP(I10,'Balance a Jun'!$A$3:$C$300,2,FALSE),"")</f>
        <v/>
      </c>
      <c r="K10" t="str">
        <f>IFERROR(VLOOKUP(I10,'Balance a Jun'!$A$3:$C$300,3,FALSE),"")</f>
        <v/>
      </c>
      <c r="L10" t="str">
        <f>IFERROR(IF(AND(VALUE(LEFT(J10,1))&gt;=6,VALUE(LEFT(J10,1))&lt;=7),_xlfn.XMATCH(VALUE(J10),PROYECCIONES!$B$1:$B$38,-1,1),_xlfn.XMATCH(VALUE(J10),PROYECCIONES!$B$1:$B$333,-1,1)),"")</f>
        <v/>
      </c>
      <c r="O10" s="3"/>
    </row>
    <row r="11" spans="1:15">
      <c r="A11">
        <f>IFERROR(IF(B11="",0,IF(VALUE(LEFT(B11,1))&gt;3,VLOOKUP(VALUE(B11),PROYECCIONES!B:D,3,FALSE),0)),1 + COUNTIF($A$2:A10,"&gt;0"))</f>
        <v>0</v>
      </c>
      <c r="B11" s="52" t="s">
        <v>276</v>
      </c>
      <c r="C11" s="52" t="s">
        <v>228</v>
      </c>
      <c r="D11" s="53">
        <v>35066662</v>
      </c>
      <c r="E11" s="53">
        <v>2000008</v>
      </c>
      <c r="F11" s="53">
        <v>1000000</v>
      </c>
      <c r="G11" s="53">
        <v>36066670</v>
      </c>
      <c r="I11" s="123">
        <v>8</v>
      </c>
      <c r="J11" t="str">
        <f>IFERROR(VLOOKUP(I11,'Balance a Jun'!$A$3:$C$300,2,FALSE),"")</f>
        <v/>
      </c>
      <c r="K11" t="str">
        <f>IFERROR(VLOOKUP(I11,'Balance a Jun'!$A$3:$C$300,3,FALSE),"")</f>
        <v/>
      </c>
      <c r="L11" t="str">
        <f>IFERROR(IF(AND(VALUE(LEFT(J11,1))&gt;=6,VALUE(LEFT(J11,1))&lt;=7),_xlfn.XMATCH(VALUE(J11),PROYECCIONES!$B$1:$B$38,-1,1),_xlfn.XMATCH(VALUE(J11),PROYECCIONES!$B$1:$B$333,-1,1)),"")</f>
        <v/>
      </c>
      <c r="O11" s="7"/>
    </row>
    <row r="12" spans="1:15">
      <c r="A12">
        <f>IFERROR(IF(B12="",0,IF(VALUE(LEFT(B12,1))&gt;3,VLOOKUP(VALUE(B12),PROYECCIONES!B:D,3,FALSE),0)),1 + COUNTIF($A$2:A11,"&gt;0"))</f>
        <v>0</v>
      </c>
      <c r="B12" s="52" t="s">
        <v>277</v>
      </c>
      <c r="C12" s="52" t="s">
        <v>229</v>
      </c>
      <c r="D12" s="53">
        <v>0</v>
      </c>
      <c r="E12" s="53">
        <v>11933498</v>
      </c>
      <c r="F12" s="53">
        <v>11533498</v>
      </c>
      <c r="G12" s="53">
        <v>400000</v>
      </c>
      <c r="I12" s="123">
        <v>9</v>
      </c>
      <c r="J12" t="str">
        <f>IFERROR(VLOOKUP(I12,'Balance a Jun'!$A$3:$C$300,2,FALSE),"")</f>
        <v/>
      </c>
      <c r="K12" t="str">
        <f>IFERROR(VLOOKUP(I12,'Balance a Jun'!$A$3:$C$300,3,FALSE),"")</f>
        <v/>
      </c>
      <c r="L12" t="str">
        <f>IFERROR(IF(AND(VALUE(LEFT(J12,1))&gt;=6,VALUE(LEFT(J12,1))&lt;=7),_xlfn.XMATCH(VALUE(J12),PROYECCIONES!$B$1:$B$38,-1,1),_xlfn.XMATCH(VALUE(J12),PROYECCIONES!$B$1:$B$333,-1,1)),"")</f>
        <v/>
      </c>
    </row>
    <row r="13" spans="1:15">
      <c r="A13">
        <f>IFERROR(IF(B13="",0,IF(VALUE(LEFT(B13,1))&gt;3,VLOOKUP(VALUE(B13),PROYECCIONES!B:D,3,FALSE),0)),1 + COUNTIF($A$2:A12,"&gt;0"))</f>
        <v>0</v>
      </c>
      <c r="B13" s="52" t="s">
        <v>278</v>
      </c>
      <c r="C13" s="52" t="s">
        <v>230</v>
      </c>
      <c r="D13" s="53">
        <v>55910253.5</v>
      </c>
      <c r="E13" s="53">
        <v>39559444</v>
      </c>
      <c r="F13" s="53">
        <v>56504253.5</v>
      </c>
      <c r="G13" s="53">
        <v>38965444</v>
      </c>
      <c r="I13" s="123">
        <v>10</v>
      </c>
      <c r="J13" t="str">
        <f>IFERROR(VLOOKUP(I13,'Balance a Jun'!$A$3:$C$300,2,FALSE),"")</f>
        <v/>
      </c>
      <c r="K13" t="str">
        <f>IFERROR(VLOOKUP(I13,'Balance a Jun'!$A$3:$C$300,3,FALSE),"")</f>
        <v/>
      </c>
      <c r="L13" t="str">
        <f>IFERROR(IF(AND(VALUE(LEFT(J13,1))&gt;=6,VALUE(LEFT(J13,1))&lt;=7),_xlfn.XMATCH(VALUE(J13),PROYECCIONES!$B$1:$B$38,-1,1),_xlfn.XMATCH(VALUE(J13),PROYECCIONES!$B$1:$B$333,-1,1)),"")</f>
        <v/>
      </c>
      <c r="O13" s="3"/>
    </row>
    <row r="14" spans="1:15">
      <c r="A14">
        <f>IFERROR(IF(B14="",0,IF(VALUE(LEFT(B14,1))&gt;3,VLOOKUP(VALUE(B14),PROYECCIONES!B:D,3,FALSE),0)),1 + COUNTIF($A$2:A13,"&gt;0"))</f>
        <v>0</v>
      </c>
      <c r="B14" s="52" t="s">
        <v>425</v>
      </c>
      <c r="C14" s="52" t="s">
        <v>426</v>
      </c>
      <c r="D14" s="53">
        <v>230000</v>
      </c>
      <c r="E14" s="53">
        <v>0</v>
      </c>
      <c r="F14" s="53">
        <v>0</v>
      </c>
      <c r="G14" s="53">
        <v>230000</v>
      </c>
      <c r="I14" s="123">
        <v>11</v>
      </c>
      <c r="J14" t="str">
        <f>IFERROR(VLOOKUP(I14,'Balance a Jun'!$A$3:$C$300,2,FALSE),"")</f>
        <v/>
      </c>
      <c r="K14" t="str">
        <f>IFERROR(VLOOKUP(I14,'Balance a Jun'!$A$3:$C$300,3,FALSE),"")</f>
        <v/>
      </c>
      <c r="L14" t="str">
        <f>IFERROR(IF(AND(VALUE(LEFT(J14,1))&gt;=6,VALUE(LEFT(J14,1))&lt;=7),_xlfn.XMATCH(VALUE(J14),PROYECCIONES!$B$1:$B$38,-1,1),_xlfn.XMATCH(VALUE(J14),PROYECCIONES!$B$1:$B$333,-1,1)),"")</f>
        <v/>
      </c>
    </row>
    <row r="15" spans="1:15">
      <c r="A15">
        <f>IFERROR(IF(B15="",0,IF(VALUE(LEFT(B15,1))&gt;3,VLOOKUP(VALUE(B15),PROYECCIONES!B:D,3,FALSE),0)),1 + COUNTIF($A$2:A14,"&gt;0"))</f>
        <v>0</v>
      </c>
      <c r="B15" s="52" t="s">
        <v>454</v>
      </c>
      <c r="C15" s="52" t="s">
        <v>455</v>
      </c>
      <c r="D15" s="53">
        <v>24000</v>
      </c>
      <c r="E15" s="53">
        <v>0</v>
      </c>
      <c r="F15" s="53">
        <v>24000</v>
      </c>
      <c r="G15" s="53">
        <v>0</v>
      </c>
      <c r="I15" s="123">
        <v>12</v>
      </c>
      <c r="J15" t="str">
        <f>IFERROR(VLOOKUP(I15,'Balance a Jun'!$A$3:$C$300,2,FALSE),"")</f>
        <v/>
      </c>
      <c r="K15" t="str">
        <f>IFERROR(VLOOKUP(I15,'Balance a Jun'!$A$3:$C$300,3,FALSE),"")</f>
        <v/>
      </c>
      <c r="L15" t="str">
        <f>IFERROR(IF(AND(VALUE(LEFT(J15,1))&gt;=6,VALUE(LEFT(J15,1))&lt;=7),_xlfn.XMATCH(VALUE(J15),PROYECCIONES!$B$1:$B$38,-1,1),_xlfn.XMATCH(VALUE(J15),PROYECCIONES!$B$1:$B$333,-1,1)),"")</f>
        <v/>
      </c>
    </row>
    <row r="16" spans="1:15">
      <c r="A16">
        <f>IFERROR(IF(B16="",0,IF(VALUE(LEFT(B16,1))&gt;3,VLOOKUP(VALUE(B16),PROYECCIONES!B:D,3,FALSE),0)),1 + COUNTIF($A$2:A15,"&gt;0"))</f>
        <v>0</v>
      </c>
      <c r="B16" s="52" t="s">
        <v>279</v>
      </c>
      <c r="C16" s="52" t="s">
        <v>231</v>
      </c>
      <c r="D16" s="53">
        <v>922339.449999996</v>
      </c>
      <c r="E16" s="53">
        <v>1835787</v>
      </c>
      <c r="F16" s="53">
        <v>2231873</v>
      </c>
      <c r="G16" s="53">
        <v>526253.449999996</v>
      </c>
      <c r="I16" s="123">
        <v>13</v>
      </c>
      <c r="J16" t="str">
        <f>IFERROR(VLOOKUP(I16,'Balance a Jun'!$A$3:$C$300,2,FALSE),"")</f>
        <v/>
      </c>
      <c r="K16" t="str">
        <f>IFERROR(VLOOKUP(I16,'Balance a Jun'!$A$3:$C$300,3,FALSE),"")</f>
        <v/>
      </c>
      <c r="L16" t="str">
        <f>IFERROR(IF(AND(VALUE(LEFT(J16,1))&gt;=6,VALUE(LEFT(J16,1))&lt;=7),_xlfn.XMATCH(VALUE(J16),PROYECCIONES!$B$1:$B$38,-1,1),_xlfn.XMATCH(VALUE(J16),PROYECCIONES!$B$1:$B$333,-1,1)),"")</f>
        <v/>
      </c>
    </row>
    <row r="17" spans="1:12">
      <c r="A17">
        <f>IFERROR(IF(B17="",0,IF(VALUE(LEFT(B17,1))&gt;3,VLOOKUP(VALUE(B17),PROYECCIONES!B:D,3,FALSE),0)),1 + COUNTIF($A$2:A16,"&gt;0"))</f>
        <v>0</v>
      </c>
      <c r="B17" s="52" t="s">
        <v>280</v>
      </c>
      <c r="C17" s="52" t="s">
        <v>232</v>
      </c>
      <c r="D17" s="53">
        <v>1595197.91</v>
      </c>
      <c r="E17" s="53">
        <v>669057</v>
      </c>
      <c r="F17" s="53">
        <v>1595197.91</v>
      </c>
      <c r="G17" s="53">
        <v>669057</v>
      </c>
      <c r="I17" s="123">
        <v>14</v>
      </c>
      <c r="J17" t="str">
        <f>IFERROR(VLOOKUP(I17,'Balance a Jun'!$A$3:$C$300,2,FALSE),"")</f>
        <v/>
      </c>
      <c r="K17" t="str">
        <f>IFERROR(VLOOKUP(I17,'Balance a Jun'!$A$3:$C$300,3,FALSE),"")</f>
        <v/>
      </c>
      <c r="L17" t="str">
        <f>IFERROR(IF(AND(VALUE(LEFT(J17,1))&gt;=6,VALUE(LEFT(J17,1))&lt;=7),_xlfn.XMATCH(VALUE(J17),PROYECCIONES!$B$1:$B$38,-1,1),_xlfn.XMATCH(VALUE(J17),PROYECCIONES!$B$1:$B$333,-1,1)),"")</f>
        <v/>
      </c>
    </row>
    <row r="18" spans="1:12">
      <c r="A18">
        <f>IFERROR(IF(B18="",0,IF(VALUE(LEFT(B18,1))&gt;3,VLOOKUP(VALUE(B18),PROYECCIONES!B:D,3,FALSE),0)),1 + COUNTIF($A$2:A17,"&gt;0"))</f>
        <v>0</v>
      </c>
      <c r="B18" s="52" t="s">
        <v>281</v>
      </c>
      <c r="C18" s="52" t="s">
        <v>233</v>
      </c>
      <c r="D18" s="53">
        <v>0</v>
      </c>
      <c r="E18" s="53">
        <v>75396</v>
      </c>
      <c r="F18" s="53">
        <v>0</v>
      </c>
      <c r="G18" s="53">
        <v>75396</v>
      </c>
      <c r="I18" s="123">
        <v>15</v>
      </c>
      <c r="J18" t="str">
        <f>IFERROR(VLOOKUP(I18,'Balance a Jun'!$A$3:$C$300,2,FALSE),"")</f>
        <v/>
      </c>
      <c r="K18" t="str">
        <f>IFERROR(VLOOKUP(I18,'Balance a Jun'!$A$3:$C$300,3,FALSE),"")</f>
        <v/>
      </c>
      <c r="L18" t="str">
        <f>IFERROR(IF(AND(VALUE(LEFT(J18,1))&gt;=6,VALUE(LEFT(J18,1))&lt;=7),_xlfn.XMATCH(VALUE(J18),PROYECCIONES!$B$1:$B$38,-1,1),_xlfn.XMATCH(VALUE(J18),PROYECCIONES!$B$1:$B$333,-1,1)),"")</f>
        <v/>
      </c>
    </row>
    <row r="19" spans="1:12">
      <c r="A19">
        <f>IFERROR(IF(B19="",0,IF(VALUE(LEFT(B19,1))&gt;3,VLOOKUP(VALUE(B19),PROYECCIONES!B:D,3,FALSE),0)),1 + COUNTIF($A$2:A18,"&gt;0"))</f>
        <v>0</v>
      </c>
      <c r="B19" s="52" t="s">
        <v>405</v>
      </c>
      <c r="C19" s="52" t="s">
        <v>406</v>
      </c>
      <c r="D19" s="53">
        <v>0</v>
      </c>
      <c r="E19" s="53">
        <v>435600</v>
      </c>
      <c r="F19" s="53">
        <v>0</v>
      </c>
      <c r="G19" s="53">
        <v>435600</v>
      </c>
    </row>
    <row r="20" spans="1:12">
      <c r="A20">
        <f>IFERROR(IF(B20="",0,IF(VALUE(LEFT(B20,1))&gt;3,VLOOKUP(VALUE(B20),PROYECCIONES!B:D,3,FALSE),0)),1 + COUNTIF($A$2:A19,"&gt;0"))</f>
        <v>0</v>
      </c>
      <c r="B20" s="52" t="s">
        <v>427</v>
      </c>
      <c r="C20" s="52" t="s">
        <v>428</v>
      </c>
      <c r="D20" s="53">
        <v>251700</v>
      </c>
      <c r="E20" s="53">
        <v>44200</v>
      </c>
      <c r="F20" s="53">
        <v>276420</v>
      </c>
      <c r="G20" s="53">
        <v>19480</v>
      </c>
    </row>
    <row r="21" spans="1:12">
      <c r="A21">
        <f>IFERROR(IF(B21="",0,IF(VALUE(LEFT(B21,1))&gt;3,VLOOKUP(VALUE(B21),PROYECCIONES!B:D,3,FALSE),0)),1 + COUNTIF($A$2:A20,"&gt;0"))</f>
        <v>0</v>
      </c>
      <c r="B21" s="52" t="s">
        <v>550</v>
      </c>
      <c r="C21" s="52" t="s">
        <v>551</v>
      </c>
      <c r="D21" s="53">
        <v>0</v>
      </c>
      <c r="E21" s="53">
        <v>10090</v>
      </c>
      <c r="F21" s="53">
        <v>0</v>
      </c>
      <c r="G21" s="53">
        <v>10090</v>
      </c>
    </row>
    <row r="22" spans="1:12">
      <c r="A22">
        <f>IFERROR(IF(B22="",0,IF(VALUE(LEFT(B22,1))&gt;3,VLOOKUP(VALUE(B22),PROYECCIONES!B:D,3,FALSE),0)),1 + COUNTIF($A$2:A21,"&gt;0"))</f>
        <v>0</v>
      </c>
      <c r="B22" s="52" t="s">
        <v>596</v>
      </c>
      <c r="C22" s="52" t="s">
        <v>597</v>
      </c>
      <c r="D22" s="53">
        <v>0</v>
      </c>
      <c r="E22" s="53">
        <v>37911254</v>
      </c>
      <c r="F22" s="53">
        <v>0</v>
      </c>
      <c r="G22" s="53">
        <v>37911254</v>
      </c>
    </row>
    <row r="23" spans="1:12">
      <c r="A23">
        <f>IFERROR(IF(B23="",0,IF(VALUE(LEFT(B23,1))&gt;3,VLOOKUP(VALUE(B23),PROYECCIONES!B:D,3,FALSE),0)),1 + COUNTIF($A$2:A22,"&gt;0"))</f>
        <v>0</v>
      </c>
      <c r="B23" s="52" t="s">
        <v>435</v>
      </c>
      <c r="C23" s="52" t="s">
        <v>436</v>
      </c>
      <c r="D23" s="53">
        <v>3625000</v>
      </c>
      <c r="E23" s="53">
        <v>0</v>
      </c>
      <c r="F23" s="53">
        <v>0</v>
      </c>
      <c r="G23" s="53">
        <v>3625000</v>
      </c>
    </row>
    <row r="24" spans="1:12">
      <c r="A24">
        <f>IFERROR(IF(B24="",0,IF(VALUE(LEFT(B24,1))&gt;3,VLOOKUP(VALUE(B24),PROYECCIONES!B:D,3,FALSE),0)),1 + COUNTIF($A$2:A23,"&gt;0"))</f>
        <v>0</v>
      </c>
      <c r="B24" s="52" t="s">
        <v>377</v>
      </c>
      <c r="C24" s="52" t="s">
        <v>373</v>
      </c>
      <c r="D24" s="53">
        <v>4742306</v>
      </c>
      <c r="E24" s="53">
        <v>3102486</v>
      </c>
      <c r="F24" s="53">
        <v>4793400</v>
      </c>
      <c r="G24" s="53">
        <v>3051392</v>
      </c>
    </row>
    <row r="25" spans="1:12">
      <c r="A25">
        <f>IFERROR(IF(B25="",0,IF(VALUE(LEFT(B25,1))&gt;3,VLOOKUP(VALUE(B25),PROYECCIONES!B:D,3,FALSE),0)),1 + COUNTIF($A$2:A24,"&gt;0"))</f>
        <v>0</v>
      </c>
      <c r="B25" s="52" t="s">
        <v>360</v>
      </c>
      <c r="C25" s="52" t="s">
        <v>361</v>
      </c>
      <c r="D25" s="53">
        <v>2530000</v>
      </c>
      <c r="E25" s="53">
        <v>1372800</v>
      </c>
      <c r="F25" s="53">
        <v>2530000</v>
      </c>
      <c r="G25" s="53">
        <v>1372800</v>
      </c>
    </row>
    <row r="26" spans="1:12">
      <c r="A26">
        <f>IFERROR(IF(B26="",0,IF(VALUE(LEFT(B26,1))&gt;3,VLOOKUP(VALUE(B26),PROYECCIONES!B:D,3,FALSE),0)),1 + COUNTIF($A$2:A25,"&gt;0"))</f>
        <v>0</v>
      </c>
      <c r="B26" s="52" t="s">
        <v>282</v>
      </c>
      <c r="C26" s="52" t="s">
        <v>234</v>
      </c>
      <c r="D26" s="53">
        <v>43467544</v>
      </c>
      <c r="E26" s="53">
        <v>0</v>
      </c>
      <c r="F26" s="53">
        <v>0</v>
      </c>
      <c r="G26" s="53">
        <v>43467544</v>
      </c>
    </row>
    <row r="27" spans="1:12">
      <c r="A27">
        <f>IFERROR(IF(B27="",0,IF(VALUE(LEFT(B27,1))&gt;3,VLOOKUP(VALUE(B27),PROYECCIONES!B:D,3,FALSE),0)),1 + COUNTIF($A$2:A26,"&gt;0"))</f>
        <v>0</v>
      </c>
      <c r="B27" s="52" t="s">
        <v>471</v>
      </c>
      <c r="C27" s="52" t="s">
        <v>472</v>
      </c>
      <c r="D27" s="53">
        <v>0</v>
      </c>
      <c r="E27" s="53">
        <v>181000</v>
      </c>
      <c r="F27" s="53">
        <v>181000</v>
      </c>
      <c r="G27" s="53">
        <v>0</v>
      </c>
    </row>
    <row r="28" spans="1:12">
      <c r="A28">
        <f>IFERROR(IF(B28="",0,IF(VALUE(LEFT(B28,1))&gt;3,VLOOKUP(VALUE(B28),PROYECCIONES!B:D,3,FALSE),0)),1 + COUNTIF($A$2:A27,"&gt;0"))</f>
        <v>0</v>
      </c>
      <c r="B28" s="52" t="s">
        <v>283</v>
      </c>
      <c r="C28" s="52" t="s">
        <v>235</v>
      </c>
      <c r="D28" s="53">
        <v>31548323.850000001</v>
      </c>
      <c r="E28" s="53">
        <v>760300</v>
      </c>
      <c r="F28" s="53">
        <v>3160300</v>
      </c>
      <c r="G28" s="53">
        <v>29148323.850000001</v>
      </c>
    </row>
    <row r="29" spans="1:12">
      <c r="A29">
        <f>IFERROR(IF(B29="",0,IF(VALUE(LEFT(B29,1))&gt;3,VLOOKUP(VALUE(B29),PROYECCIONES!B:D,3,FALSE),0)),1 + COUNTIF($A$2:A28,"&gt;0"))</f>
        <v>0</v>
      </c>
      <c r="B29" s="52" t="s">
        <v>378</v>
      </c>
      <c r="C29" s="52" t="s">
        <v>379</v>
      </c>
      <c r="D29" s="53">
        <v>900000</v>
      </c>
      <c r="E29" s="53">
        <v>27000000</v>
      </c>
      <c r="F29" s="53">
        <v>300000</v>
      </c>
      <c r="G29" s="53">
        <v>27600000</v>
      </c>
    </row>
    <row r="30" spans="1:12">
      <c r="A30">
        <f>IFERROR(IF(B30="",0,IF(VALUE(LEFT(B30,1))&gt;3,VLOOKUP(VALUE(B30),PROYECCIONES!B:D,3,FALSE),0)),1 + COUNTIF($A$2:A29,"&gt;0"))</f>
        <v>0</v>
      </c>
      <c r="B30" s="52" t="s">
        <v>284</v>
      </c>
      <c r="C30" s="52" t="s">
        <v>236</v>
      </c>
      <c r="D30" s="53">
        <v>50000</v>
      </c>
      <c r="E30" s="53">
        <v>231422.34</v>
      </c>
      <c r="F30" s="53">
        <v>96950</v>
      </c>
      <c r="G30" s="53">
        <v>184472.34</v>
      </c>
    </row>
    <row r="31" spans="1:12">
      <c r="A31">
        <f>IFERROR(IF(B31="",0,IF(VALUE(LEFT(B31,1))&gt;3,VLOOKUP(VALUE(B31),PROYECCIONES!B:D,3,FALSE),0)),1 + COUNTIF($A$2:A30,"&gt;0"))</f>
        <v>0</v>
      </c>
      <c r="B31" s="52" t="s">
        <v>285</v>
      </c>
      <c r="C31" s="52" t="s">
        <v>237</v>
      </c>
      <c r="D31" s="53">
        <v>18023845.800000001</v>
      </c>
      <c r="E31" s="53">
        <v>2064706</v>
      </c>
      <c r="F31" s="53">
        <v>0</v>
      </c>
      <c r="G31" s="53">
        <v>20088551.800000001</v>
      </c>
    </row>
    <row r="32" spans="1:12">
      <c r="A32">
        <f>IFERROR(IF(B32="",0,IF(VALUE(LEFT(B32,1))&gt;3,VLOOKUP(VALUE(B32),PROYECCIONES!B:D,3,FALSE),0)),1 + COUNTIF($A$2:A31,"&gt;0"))</f>
        <v>0</v>
      </c>
      <c r="B32" s="52" t="s">
        <v>536</v>
      </c>
      <c r="C32" s="52" t="s">
        <v>537</v>
      </c>
      <c r="D32" s="53">
        <v>0</v>
      </c>
      <c r="E32" s="53">
        <v>8200000</v>
      </c>
      <c r="F32" s="53">
        <v>0</v>
      </c>
      <c r="G32" s="53">
        <v>8200000</v>
      </c>
    </row>
    <row r="33" spans="1:7">
      <c r="A33">
        <f>IFERROR(IF(B33="",0,IF(VALUE(LEFT(B33,1))&gt;3,VLOOKUP(VALUE(B33),PROYECCIONES!B:D,3,FALSE),0)),1 + COUNTIF($A$2:A32,"&gt;0"))</f>
        <v>0</v>
      </c>
      <c r="B33" s="52" t="s">
        <v>286</v>
      </c>
      <c r="C33" s="52" t="s">
        <v>238</v>
      </c>
      <c r="D33" s="53">
        <v>61490000</v>
      </c>
      <c r="E33" s="53">
        <v>0</v>
      </c>
      <c r="F33" s="53">
        <v>0</v>
      </c>
      <c r="G33" s="53">
        <v>61490000</v>
      </c>
    </row>
    <row r="34" spans="1:7">
      <c r="A34">
        <f>IFERROR(IF(B34="",0,IF(VALUE(LEFT(B34,1))&gt;3,VLOOKUP(VALUE(B34),PROYECCIONES!B:D,3,FALSE),0)),1 + COUNTIF($A$2:A33,"&gt;0"))</f>
        <v>0</v>
      </c>
      <c r="B34" s="52" t="s">
        <v>287</v>
      </c>
      <c r="C34" s="52" t="s">
        <v>239</v>
      </c>
      <c r="D34" s="53">
        <v>-6028466.0099999998</v>
      </c>
      <c r="E34" s="53">
        <v>0</v>
      </c>
      <c r="F34" s="53">
        <v>1269829.68</v>
      </c>
      <c r="G34" s="53">
        <v>-7298295.6900000004</v>
      </c>
    </row>
    <row r="35" spans="1:7">
      <c r="A35">
        <f>IFERROR(IF(B35="",0,IF(VALUE(LEFT(B35,1))&gt;3,VLOOKUP(VALUE(B35),PROYECCIONES!B:D,3,FALSE),0)),1 + COUNTIF($A$2:A34,"&gt;0"))</f>
        <v>0</v>
      </c>
      <c r="B35" s="52" t="s">
        <v>600</v>
      </c>
      <c r="C35" s="52" t="s">
        <v>601</v>
      </c>
      <c r="D35" s="53">
        <v>2.3283064365386999E-10</v>
      </c>
      <c r="E35" s="53">
        <v>0</v>
      </c>
      <c r="F35" s="53">
        <v>273333.34000000003</v>
      </c>
      <c r="G35" s="53">
        <v>-273333.34000000003</v>
      </c>
    </row>
    <row r="36" spans="1:7">
      <c r="A36">
        <f>IFERROR(IF(B36="",0,IF(VALUE(LEFT(B36,1))&gt;3,VLOOKUP(VALUE(B36),PROYECCIONES!B:D,3,FALSE),0)),1 + COUNTIF($A$2:A35,"&gt;0"))</f>
        <v>0</v>
      </c>
      <c r="B36" s="52" t="s">
        <v>288</v>
      </c>
      <c r="C36" s="52" t="s">
        <v>240</v>
      </c>
      <c r="D36" s="53">
        <v>-1588491.73</v>
      </c>
      <c r="E36" s="53">
        <v>0</v>
      </c>
      <c r="F36" s="53">
        <v>3074500.02</v>
      </c>
      <c r="G36" s="53">
        <v>-4662991.75</v>
      </c>
    </row>
    <row r="37" spans="1:7">
      <c r="A37">
        <f>IFERROR(IF(B37="",0,IF(VALUE(LEFT(B37,1))&gt;3,VLOOKUP(VALUE(B37),PROYECCIONES!B:D,3,FALSE),0)),1 + COUNTIF($A$2:A36,"&gt;0"))</f>
        <v>0</v>
      </c>
      <c r="B37" s="52" t="s">
        <v>289</v>
      </c>
      <c r="C37" s="52" t="s">
        <v>241</v>
      </c>
      <c r="D37" s="53">
        <v>880262</v>
      </c>
      <c r="E37" s="53">
        <v>0</v>
      </c>
      <c r="F37" s="53">
        <v>0</v>
      </c>
      <c r="G37" s="53">
        <v>880262</v>
      </c>
    </row>
    <row r="38" spans="1:7">
      <c r="A38">
        <f>IFERROR(IF(B38="",0,IF(VALUE(LEFT(B38,1))&gt;3,VLOOKUP(VALUE(B38),PROYECCIONES!B:D,3,FALSE),0)),1 + COUNTIF($A$2:A37,"&gt;0"))</f>
        <v>0</v>
      </c>
      <c r="B38" s="52" t="s">
        <v>290</v>
      </c>
      <c r="C38" s="52" t="s">
        <v>242</v>
      </c>
      <c r="D38" s="53">
        <v>-880262</v>
      </c>
      <c r="E38" s="53">
        <v>0</v>
      </c>
      <c r="F38" s="53">
        <v>0</v>
      </c>
      <c r="G38" s="53">
        <v>-880262</v>
      </c>
    </row>
    <row r="39" spans="1:7">
      <c r="A39">
        <f>IFERROR(IF(B39="",0,IF(VALUE(LEFT(B39,1))&gt;3,VLOOKUP(VALUE(B39),PROYECCIONES!B:D,3,FALSE),0)),1 + COUNTIF($A$2:A38,"&gt;0"))</f>
        <v>0</v>
      </c>
      <c r="B39" s="52" t="s">
        <v>473</v>
      </c>
      <c r="C39" s="52" t="s">
        <v>474</v>
      </c>
      <c r="D39" s="53">
        <v>1653107</v>
      </c>
      <c r="E39" s="53">
        <v>0</v>
      </c>
      <c r="F39" s="53">
        <v>1653107</v>
      </c>
      <c r="G39" s="53">
        <v>0</v>
      </c>
    </row>
    <row r="40" spans="1:7">
      <c r="A40">
        <f>IFERROR(IF(B40="",0,IF(VALUE(LEFT(B40,1))&gt;3,VLOOKUP(VALUE(B40),PROYECCIONES!B:D,3,FALSE),0)),1 + COUNTIF($A$2:A39,"&gt;0"))</f>
        <v>0</v>
      </c>
      <c r="B40" s="52" t="s">
        <v>520</v>
      </c>
      <c r="C40" s="52" t="s">
        <v>229</v>
      </c>
      <c r="D40" s="53">
        <v>0</v>
      </c>
      <c r="E40" s="53">
        <v>7319177.4000000004</v>
      </c>
      <c r="F40" s="53">
        <v>2951778.72</v>
      </c>
      <c r="G40" s="53">
        <v>4367398.68</v>
      </c>
    </row>
    <row r="41" spans="1:7">
      <c r="A41">
        <f>IFERROR(IF(B41="",0,IF(VALUE(LEFT(B41,1))&gt;3,VLOOKUP(VALUE(B41),PROYECCIONES!B:D,3,FALSE),0)),1 + COUNTIF($A$2:A40,"&gt;0"))</f>
        <v>0</v>
      </c>
      <c r="B41" s="52" t="s">
        <v>380</v>
      </c>
      <c r="C41" s="52" t="s">
        <v>374</v>
      </c>
      <c r="D41" s="53">
        <v>-87720410.230000004</v>
      </c>
      <c r="E41" s="53">
        <v>4937178</v>
      </c>
      <c r="F41" s="53">
        <v>30270777.77</v>
      </c>
      <c r="G41" s="53">
        <v>-113054010</v>
      </c>
    </row>
    <row r="42" spans="1:7">
      <c r="A42">
        <f>IFERROR(IF(B42="",0,IF(VALUE(LEFT(B42,1))&gt;3,VLOOKUP(VALUE(B42),PROYECCIONES!B:D,3,FALSE),0)),1 + COUNTIF($A$2:A41,"&gt;0"))</f>
        <v>0</v>
      </c>
      <c r="B42" s="52" t="s">
        <v>552</v>
      </c>
      <c r="C42" s="52" t="s">
        <v>553</v>
      </c>
      <c r="D42" s="53">
        <v>0</v>
      </c>
      <c r="E42" s="53">
        <v>2469778</v>
      </c>
      <c r="F42" s="53">
        <v>2469778</v>
      </c>
      <c r="G42" s="53">
        <v>0</v>
      </c>
    </row>
    <row r="43" spans="1:7">
      <c r="A43">
        <f>IFERROR(IF(B43="",0,IF(VALUE(LEFT(B43,1))&gt;3,VLOOKUP(VALUE(B43),PROYECCIONES!B:D,3,FALSE),0)),1 + COUNTIF($A$2:A42,"&gt;0"))</f>
        <v>0</v>
      </c>
      <c r="B43" s="52" t="s">
        <v>458</v>
      </c>
      <c r="C43" s="52" t="s">
        <v>459</v>
      </c>
      <c r="D43" s="53">
        <v>4.65661287307739E-10</v>
      </c>
      <c r="E43" s="53">
        <v>2312905</v>
      </c>
      <c r="F43" s="53">
        <v>2312905</v>
      </c>
      <c r="G43" s="53">
        <v>0</v>
      </c>
    </row>
    <row r="44" spans="1:7">
      <c r="A44">
        <f>IFERROR(IF(B44="",0,IF(VALUE(LEFT(B44,1))&gt;3,VLOOKUP(VALUE(B44),PROYECCIONES!B:D,3,FALSE),0)),1 + COUNTIF($A$2:A43,"&gt;0"))</f>
        <v>0</v>
      </c>
      <c r="B44" s="52" t="s">
        <v>291</v>
      </c>
      <c r="C44" s="52" t="s">
        <v>243</v>
      </c>
      <c r="D44" s="53">
        <v>-427500</v>
      </c>
      <c r="E44" s="53">
        <v>20048500</v>
      </c>
      <c r="F44" s="53">
        <v>19621000</v>
      </c>
      <c r="G44" s="53">
        <v>0</v>
      </c>
    </row>
    <row r="45" spans="1:7">
      <c r="A45">
        <f>IFERROR(IF(B45="",0,IF(VALUE(LEFT(B45,1))&gt;3,VLOOKUP(VALUE(B45),PROYECCIONES!B:D,3,FALSE),0)),1 + COUNTIF($A$2:A44,"&gt;0"))</f>
        <v>0</v>
      </c>
      <c r="B45" s="52" t="s">
        <v>554</v>
      </c>
      <c r="C45" s="52" t="s">
        <v>555</v>
      </c>
      <c r="D45" s="53">
        <v>0</v>
      </c>
      <c r="E45" s="53">
        <v>1344595.2</v>
      </c>
      <c r="F45" s="53">
        <v>1344595.2</v>
      </c>
      <c r="G45" s="53">
        <v>0</v>
      </c>
    </row>
    <row r="46" spans="1:7">
      <c r="A46">
        <f>IFERROR(IF(B46="",0,IF(VALUE(LEFT(B46,1))&gt;3,VLOOKUP(VALUE(B46),PROYECCIONES!B:D,3,FALSE),0)),1 + COUNTIF($A$2:A45,"&gt;0"))</f>
        <v>0</v>
      </c>
      <c r="B46" s="52" t="s">
        <v>292</v>
      </c>
      <c r="C46" s="52" t="s">
        <v>244</v>
      </c>
      <c r="D46" s="53">
        <v>0</v>
      </c>
      <c r="E46" s="53">
        <v>150000</v>
      </c>
      <c r="F46" s="53">
        <v>150000</v>
      </c>
      <c r="G46" s="53">
        <v>0</v>
      </c>
    </row>
    <row r="47" spans="1:7">
      <c r="A47">
        <f>IFERROR(IF(B47="",0,IF(VALUE(LEFT(B47,1))&gt;3,VLOOKUP(VALUE(B47),PROYECCIONES!B:D,3,FALSE),0)),1 + COUNTIF($A$2:A46,"&gt;0"))</f>
        <v>0</v>
      </c>
      <c r="B47" s="52" t="s">
        <v>293</v>
      </c>
      <c r="C47" s="52" t="s">
        <v>245</v>
      </c>
      <c r="D47" s="53">
        <v>0</v>
      </c>
      <c r="E47" s="53">
        <v>7496746</v>
      </c>
      <c r="F47" s="53">
        <v>8995551</v>
      </c>
      <c r="G47" s="53">
        <v>-1498805</v>
      </c>
    </row>
    <row r="48" spans="1:7">
      <c r="A48">
        <f>IFERROR(IF(B48="",0,IF(VALUE(LEFT(B48,1))&gt;3,VLOOKUP(VALUE(B48),PROYECCIONES!B:D,3,FALSE),0)),1 + COUNTIF($A$2:A47,"&gt;0"))</f>
        <v>0</v>
      </c>
      <c r="B48" s="52" t="s">
        <v>294</v>
      </c>
      <c r="C48" s="52" t="s">
        <v>246</v>
      </c>
      <c r="D48" s="53">
        <v>-259026</v>
      </c>
      <c r="E48" s="53">
        <v>4592145.01</v>
      </c>
      <c r="F48" s="53">
        <v>4333119.01</v>
      </c>
      <c r="G48" s="53">
        <v>0</v>
      </c>
    </row>
    <row r="49" spans="1:7">
      <c r="A49">
        <f>IFERROR(IF(B49="",0,IF(VALUE(LEFT(B49,1))&gt;3,VLOOKUP(VALUE(B49),PROYECCIONES!B:D,3,FALSE),0)),1 + COUNTIF($A$2:A48,"&gt;0"))</f>
        <v>0</v>
      </c>
      <c r="B49" s="52" t="s">
        <v>556</v>
      </c>
      <c r="C49" s="52" t="s">
        <v>557</v>
      </c>
      <c r="D49" s="53">
        <v>0</v>
      </c>
      <c r="E49" s="53">
        <v>100000</v>
      </c>
      <c r="F49" s="53">
        <v>100000</v>
      </c>
      <c r="G49" s="53">
        <v>0</v>
      </c>
    </row>
    <row r="50" spans="1:7">
      <c r="A50">
        <f>IFERROR(IF(B50="",0,IF(VALUE(LEFT(B50,1))&gt;3,VLOOKUP(VALUE(B50),PROYECCIONES!B:D,3,FALSE),0)),1 + COUNTIF($A$2:A49,"&gt;0"))</f>
        <v>0</v>
      </c>
      <c r="B50" s="52" t="s">
        <v>460</v>
      </c>
      <c r="C50" s="52" t="s">
        <v>461</v>
      </c>
      <c r="D50" s="53">
        <v>0</v>
      </c>
      <c r="E50" s="53">
        <v>8791428.8399999999</v>
      </c>
      <c r="F50" s="53">
        <v>8986428.8399999999</v>
      </c>
      <c r="G50" s="53">
        <v>-195000</v>
      </c>
    </row>
    <row r="51" spans="1:7">
      <c r="A51">
        <f>IFERROR(IF(B51="",0,IF(VALUE(LEFT(B51,1))&gt;3,VLOOKUP(VALUE(B51),PROYECCIONES!B:D,3,FALSE),0)),1 + COUNTIF($A$2:A50,"&gt;0"))</f>
        <v>0</v>
      </c>
      <c r="B51" s="52" t="s">
        <v>407</v>
      </c>
      <c r="C51" s="52" t="s">
        <v>408</v>
      </c>
      <c r="D51" s="53">
        <v>0</v>
      </c>
      <c r="E51" s="53">
        <v>1102439</v>
      </c>
      <c r="F51" s="53">
        <v>1102439</v>
      </c>
      <c r="G51" s="53">
        <v>0</v>
      </c>
    </row>
    <row r="52" spans="1:7">
      <c r="A52">
        <f>IFERROR(IF(B52="",0,IF(VALUE(LEFT(B52,1))&gt;3,VLOOKUP(VALUE(B52),PROYECCIONES!B:D,3,FALSE),0)),1 + COUNTIF($A$2:A51,"&gt;0"))</f>
        <v>0</v>
      </c>
      <c r="B52" s="52" t="s">
        <v>410</v>
      </c>
      <c r="C52" s="52" t="s">
        <v>411</v>
      </c>
      <c r="D52" s="53">
        <v>0</v>
      </c>
      <c r="E52" s="53">
        <v>115242</v>
      </c>
      <c r="F52" s="53">
        <v>115242</v>
      </c>
      <c r="G52" s="53">
        <v>0</v>
      </c>
    </row>
    <row r="53" spans="1:7">
      <c r="A53">
        <f>IFERROR(IF(B53="",0,IF(VALUE(LEFT(B53,1))&gt;3,VLOOKUP(VALUE(B53),PROYECCIONES!B:D,3,FALSE),0)),1 + COUNTIF($A$2:A52,"&gt;0"))</f>
        <v>0</v>
      </c>
      <c r="B53" s="52" t="s">
        <v>295</v>
      </c>
      <c r="C53" s="52" t="s">
        <v>247</v>
      </c>
      <c r="D53" s="53">
        <v>0</v>
      </c>
      <c r="E53" s="53">
        <v>10070113.57</v>
      </c>
      <c r="F53" s="53">
        <v>13355174.289999999</v>
      </c>
      <c r="G53" s="53">
        <v>-3285060.72</v>
      </c>
    </row>
    <row r="54" spans="1:7">
      <c r="A54">
        <f>IFERROR(IF(B54="",0,IF(VALUE(LEFT(B54,1))&gt;3,VLOOKUP(VALUE(B54),PROYECCIONES!B:D,3,FALSE),0)),1 + COUNTIF($A$2:A53,"&gt;0"))</f>
        <v>0</v>
      </c>
      <c r="B54" s="52" t="s">
        <v>558</v>
      </c>
      <c r="C54" s="52" t="s">
        <v>559</v>
      </c>
      <c r="D54" s="53">
        <v>0</v>
      </c>
      <c r="E54" s="53">
        <v>0</v>
      </c>
      <c r="F54" s="53">
        <v>12802400</v>
      </c>
      <c r="G54" s="53">
        <v>-12802400</v>
      </c>
    </row>
    <row r="55" spans="1:7">
      <c r="A55">
        <f>IFERROR(IF(B55="",0,IF(VALUE(LEFT(B55,1))&gt;3,VLOOKUP(VALUE(B55),PROYECCIONES!B:D,3,FALSE),0)),1 + COUNTIF($A$2:A54,"&gt;0"))</f>
        <v>0</v>
      </c>
      <c r="B55" s="52" t="s">
        <v>86</v>
      </c>
      <c r="C55" s="52" t="s">
        <v>248</v>
      </c>
      <c r="D55" s="53">
        <v>-118268.9</v>
      </c>
      <c r="E55" s="53">
        <v>446527.41</v>
      </c>
      <c r="F55" s="53">
        <v>389434.98</v>
      </c>
      <c r="G55" s="53">
        <v>-61176.469999999703</v>
      </c>
    </row>
    <row r="56" spans="1:7">
      <c r="A56">
        <f>IFERROR(IF(B56="",0,IF(VALUE(LEFT(B56,1))&gt;3,VLOOKUP(VALUE(B56),PROYECCIONES!B:D,3,FALSE),0)),1 + COUNTIF($A$2:A55,"&gt;0"))</f>
        <v>0</v>
      </c>
      <c r="B56" s="52" t="s">
        <v>538</v>
      </c>
      <c r="C56" s="52" t="s">
        <v>539</v>
      </c>
      <c r="D56" s="53">
        <v>0</v>
      </c>
      <c r="E56" s="53">
        <v>6148.68</v>
      </c>
      <c r="F56" s="53">
        <v>6148.68</v>
      </c>
      <c r="G56" s="53">
        <v>0</v>
      </c>
    </row>
    <row r="57" spans="1:7">
      <c r="A57">
        <f>IFERROR(IF(B57="",0,IF(VALUE(LEFT(B57,1))&gt;3,VLOOKUP(VALUE(B57),PROYECCIONES!B:D,3,FALSE),0)),1 + COUNTIF($A$2:A56,"&gt;0"))</f>
        <v>0</v>
      </c>
      <c r="B57" s="52" t="s">
        <v>87</v>
      </c>
      <c r="C57" s="52" t="s">
        <v>483</v>
      </c>
      <c r="D57" s="53">
        <v>0</v>
      </c>
      <c r="E57" s="53">
        <v>21600</v>
      </c>
      <c r="F57" s="53">
        <v>21600</v>
      </c>
      <c r="G57" s="53">
        <v>0</v>
      </c>
    </row>
    <row r="58" spans="1:7">
      <c r="A58">
        <f>IFERROR(IF(B58="",0,IF(VALUE(LEFT(B58,1))&gt;3,VLOOKUP(VALUE(B58),PROYECCIONES!B:D,3,FALSE),0)),1 + COUNTIF($A$2:A57,"&gt;0"))</f>
        <v>0</v>
      </c>
      <c r="B58" s="52" t="s">
        <v>362</v>
      </c>
      <c r="C58" s="52" t="s">
        <v>592</v>
      </c>
      <c r="D58" s="53">
        <v>-20300</v>
      </c>
      <c r="E58" s="53">
        <v>62790</v>
      </c>
      <c r="F58" s="53">
        <v>42490</v>
      </c>
      <c r="G58" s="53">
        <v>0</v>
      </c>
    </row>
    <row r="59" spans="1:7">
      <c r="A59">
        <f>IFERROR(IF(B59="",0,IF(VALUE(LEFT(B59,1))&gt;3,VLOOKUP(VALUE(B59),PROYECCIONES!B:D,3,FALSE),0)),1 + COUNTIF($A$2:A58,"&gt;0"))</f>
        <v>0</v>
      </c>
      <c r="B59" s="52" t="s">
        <v>88</v>
      </c>
      <c r="C59" s="52" t="s">
        <v>585</v>
      </c>
      <c r="D59" s="53">
        <v>-74424.880000000107</v>
      </c>
      <c r="E59" s="53">
        <v>74424.59</v>
      </c>
      <c r="F59" s="53">
        <v>0</v>
      </c>
      <c r="G59" s="53">
        <v>-0.29000000003725301</v>
      </c>
    </row>
    <row r="60" spans="1:7">
      <c r="A60">
        <f>IFERROR(IF(B60="",0,IF(VALUE(LEFT(B60,1))&gt;3,VLOOKUP(VALUE(B60),PROYECCIONES!B:D,3,FALSE),0)),1 + COUNTIF($A$2:A59,"&gt;0"))</f>
        <v>0</v>
      </c>
      <c r="B60" s="52" t="s">
        <v>413</v>
      </c>
      <c r="C60" s="52" t="s">
        <v>586</v>
      </c>
      <c r="D60" s="53">
        <v>0</v>
      </c>
      <c r="E60" s="53">
        <v>315001.96999999997</v>
      </c>
      <c r="F60" s="53">
        <v>387429.42</v>
      </c>
      <c r="G60" s="53">
        <v>-72427.450000000099</v>
      </c>
    </row>
    <row r="61" spans="1:7">
      <c r="A61">
        <f>IFERROR(IF(B61="",0,IF(VALUE(LEFT(B61,1))&gt;3,VLOOKUP(VALUE(B61),PROYECCIONES!B:D,3,FALSE),0)),1 + COUNTIF($A$2:A60,"&gt;0"))</f>
        <v>0</v>
      </c>
      <c r="B61" s="52" t="s">
        <v>296</v>
      </c>
      <c r="C61" s="52" t="s">
        <v>249</v>
      </c>
      <c r="D61" s="53">
        <v>-83618</v>
      </c>
      <c r="E61" s="53">
        <v>304681</v>
      </c>
      <c r="F61" s="53">
        <v>266878</v>
      </c>
      <c r="G61" s="53">
        <v>-45815</v>
      </c>
    </row>
    <row r="62" spans="1:7">
      <c r="A62">
        <f>IFERROR(IF(B62="",0,IF(VALUE(LEFT(B62,1))&gt;3,VLOOKUP(VALUE(B62),PROYECCIONES!B:D,3,FALSE),0)),1 + COUNTIF($A$2:A61,"&gt;0"))</f>
        <v>0</v>
      </c>
      <c r="B62" s="52" t="s">
        <v>462</v>
      </c>
      <c r="C62" s="52" t="s">
        <v>463</v>
      </c>
      <c r="D62" s="53">
        <v>0</v>
      </c>
      <c r="E62" s="53">
        <v>146774.5</v>
      </c>
      <c r="F62" s="53">
        <v>146774.5</v>
      </c>
      <c r="G62" s="53">
        <v>0</v>
      </c>
    </row>
    <row r="63" spans="1:7">
      <c r="A63">
        <f>IFERROR(IF(B63="",0,IF(VALUE(LEFT(B63,1))&gt;3,VLOOKUP(VALUE(B63),PROYECCIONES!B:D,3,FALSE),0)),1 + COUNTIF($A$2:A62,"&gt;0"))</f>
        <v>0</v>
      </c>
      <c r="B63" s="52" t="s">
        <v>297</v>
      </c>
      <c r="C63" s="52" t="s">
        <v>250</v>
      </c>
      <c r="D63" s="53">
        <v>-1027152</v>
      </c>
      <c r="E63" s="53">
        <v>3528979</v>
      </c>
      <c r="F63" s="53">
        <v>3102486</v>
      </c>
      <c r="G63" s="53">
        <v>-600659</v>
      </c>
    </row>
    <row r="64" spans="1:7">
      <c r="A64">
        <f>IFERROR(IF(B64="",0,IF(VALUE(LEFT(B64,1))&gt;3,VLOOKUP(VALUE(B64),PROYECCIONES!B:D,3,FALSE),0)),1 + COUNTIF($A$2:A63,"&gt;0"))</f>
        <v>0</v>
      </c>
      <c r="B64" s="52" t="s">
        <v>363</v>
      </c>
      <c r="C64" s="52" t="s">
        <v>437</v>
      </c>
      <c r="D64" s="53">
        <v>-440000</v>
      </c>
      <c r="E64" s="53">
        <v>1575200</v>
      </c>
      <c r="F64" s="53">
        <v>1372800</v>
      </c>
      <c r="G64" s="53">
        <v>-237600</v>
      </c>
    </row>
    <row r="65" spans="1:7">
      <c r="A65">
        <f>IFERROR(IF(B65="",0,IF(VALUE(LEFT(B65,1))&gt;3,VLOOKUP(VALUE(B65),PROYECCIONES!B:D,3,FALSE),0)),1 + COUNTIF($A$2:A64,"&gt;0"))</f>
        <v>0</v>
      </c>
      <c r="B65" s="52" t="s">
        <v>438</v>
      </c>
      <c r="C65" s="52" t="s">
        <v>439</v>
      </c>
      <c r="D65" s="53">
        <v>0</v>
      </c>
      <c r="E65" s="53">
        <v>399000</v>
      </c>
      <c r="F65" s="53">
        <v>399000</v>
      </c>
      <c r="G65" s="53">
        <v>0</v>
      </c>
    </row>
    <row r="66" spans="1:7">
      <c r="A66">
        <f>IFERROR(IF(B66="",0,IF(VALUE(LEFT(B66,1))&gt;3,VLOOKUP(VALUE(B66),PROYECCIONES!B:D,3,FALSE),0)),1 + COUNTIF($A$2:A65,"&gt;0"))</f>
        <v>0</v>
      </c>
      <c r="B66" s="52" t="s">
        <v>381</v>
      </c>
      <c r="C66" s="52" t="s">
        <v>382</v>
      </c>
      <c r="D66" s="53">
        <v>0</v>
      </c>
      <c r="E66" s="53">
        <v>299253.75</v>
      </c>
      <c r="F66" s="53">
        <v>368059.82</v>
      </c>
      <c r="G66" s="53">
        <v>-68806.070000000094</v>
      </c>
    </row>
    <row r="67" spans="1:7">
      <c r="A67">
        <f>IFERROR(IF(B67="",0,IF(VALUE(LEFT(B67,1))&gt;3,VLOOKUP(VALUE(B67),PROYECCIONES!B:D,3,FALSE),0)),1 + COUNTIF($A$2:A66,"&gt;0"))</f>
        <v>0</v>
      </c>
      <c r="B67" s="52" t="s">
        <v>298</v>
      </c>
      <c r="C67" s="52" t="s">
        <v>251</v>
      </c>
      <c r="D67" s="53">
        <v>-53457.23</v>
      </c>
      <c r="E67" s="53">
        <v>91954.71</v>
      </c>
      <c r="F67" s="53">
        <v>151411.35</v>
      </c>
      <c r="G67" s="53">
        <v>-112913.87</v>
      </c>
    </row>
    <row r="68" spans="1:7">
      <c r="A68">
        <f>IFERROR(IF(B68="",0,IF(VALUE(LEFT(B68,1))&gt;3,VLOOKUP(VALUE(B68),PROYECCIONES!B:D,3,FALSE),0)),1 + COUNTIF($A$2:A67,"&gt;0"))</f>
        <v>0</v>
      </c>
      <c r="B68" s="52" t="s">
        <v>383</v>
      </c>
      <c r="C68" s="52" t="s">
        <v>375</v>
      </c>
      <c r="D68" s="53">
        <v>0</v>
      </c>
      <c r="E68" s="53">
        <v>10337.799999999999</v>
      </c>
      <c r="F68" s="53">
        <v>10337.799999999999</v>
      </c>
      <c r="G68" s="53">
        <v>0</v>
      </c>
    </row>
    <row r="69" spans="1:7">
      <c r="A69">
        <f>IFERROR(IF(B69="",0,IF(VALUE(LEFT(B69,1))&gt;3,VLOOKUP(VALUE(B69),PROYECCIONES!B:D,3,FALSE),0)),1 + COUNTIF($A$2:A68,"&gt;0"))</f>
        <v>0</v>
      </c>
      <c r="B69" s="52" t="s">
        <v>364</v>
      </c>
      <c r="C69" s="52" t="s">
        <v>365</v>
      </c>
      <c r="D69" s="53">
        <v>-3828</v>
      </c>
      <c r="E69" s="53">
        <v>0</v>
      </c>
      <c r="F69" s="53">
        <v>25085.279999999999</v>
      </c>
      <c r="G69" s="53">
        <v>-28913.279999999999</v>
      </c>
    </row>
    <row r="70" spans="1:7">
      <c r="A70">
        <f>IFERROR(IF(B70="",0,IF(VALUE(LEFT(B70,1))&gt;3,VLOOKUP(VALUE(B70),PROYECCIONES!B:D,3,FALSE),0)),1 + COUNTIF($A$2:A69,"&gt;0"))</f>
        <v>0</v>
      </c>
      <c r="B70" s="52" t="s">
        <v>464</v>
      </c>
      <c r="C70" s="52" t="s">
        <v>465</v>
      </c>
      <c r="D70" s="53">
        <v>0</v>
      </c>
      <c r="E70" s="53">
        <v>15957.65</v>
      </c>
      <c r="F70" s="53">
        <v>15957.65</v>
      </c>
      <c r="G70" s="53">
        <v>0</v>
      </c>
    </row>
    <row r="71" spans="1:7">
      <c r="A71">
        <f>IFERROR(IF(B71="",0,IF(VALUE(LEFT(B71,1))&gt;3,VLOOKUP(VALUE(B71),PROYECCIONES!B:D,3,FALSE),0)),1 + COUNTIF($A$2:A70,"&gt;0"))</f>
        <v>0</v>
      </c>
      <c r="B71" s="52" t="s">
        <v>299</v>
      </c>
      <c r="C71" s="52" t="s">
        <v>252</v>
      </c>
      <c r="D71" s="53">
        <v>-803998</v>
      </c>
      <c r="E71" s="53">
        <v>3587500</v>
      </c>
      <c r="F71" s="53">
        <v>3554201</v>
      </c>
      <c r="G71" s="53">
        <v>-770699</v>
      </c>
    </row>
    <row r="72" spans="1:7">
      <c r="A72">
        <f>IFERROR(IF(B72="",0,IF(VALUE(LEFT(B72,1))&gt;3,VLOOKUP(VALUE(B72),PROYECCIONES!B:D,3,FALSE),0)),1 + COUNTIF($A$2:A71,"&gt;0"))</f>
        <v>0</v>
      </c>
      <c r="B72" s="52" t="s">
        <v>300</v>
      </c>
      <c r="C72" s="52" t="s">
        <v>253</v>
      </c>
      <c r="D72" s="53">
        <v>-72817</v>
      </c>
      <c r="E72" s="53">
        <v>424855</v>
      </c>
      <c r="F72" s="53">
        <v>480268</v>
      </c>
      <c r="G72" s="53">
        <v>-128230</v>
      </c>
    </row>
    <row r="73" spans="1:7">
      <c r="A73">
        <f>IFERROR(IF(B73="",0,IF(VALUE(LEFT(B73,1))&gt;3,VLOOKUP(VALUE(B73),PROYECCIONES!B:D,3,FALSE),0)),1 + COUNTIF($A$2:A72,"&gt;0"))</f>
        <v>0</v>
      </c>
      <c r="B73" s="52" t="s">
        <v>301</v>
      </c>
      <c r="C73" s="52" t="s">
        <v>254</v>
      </c>
      <c r="D73" s="53">
        <v>-557999</v>
      </c>
      <c r="E73" s="53">
        <v>3587500</v>
      </c>
      <c r="F73" s="53">
        <v>3680200</v>
      </c>
      <c r="G73" s="53">
        <v>-650699</v>
      </c>
    </row>
    <row r="74" spans="1:7">
      <c r="A74">
        <f>IFERROR(IF(B74="",0,IF(VALUE(LEFT(B74,1))&gt;3,VLOOKUP(VALUE(B74),PROYECCIONES!B:D,3,FALSE),0)),1 + COUNTIF($A$2:A73,"&gt;0"))</f>
        <v>0</v>
      </c>
      <c r="B74" s="52" t="s">
        <v>302</v>
      </c>
      <c r="C74" s="52" t="s">
        <v>255</v>
      </c>
      <c r="D74" s="53">
        <v>-5483064</v>
      </c>
      <c r="E74" s="53">
        <v>14586900</v>
      </c>
      <c r="F74" s="53">
        <v>14672801</v>
      </c>
      <c r="G74" s="53">
        <v>-5568965</v>
      </c>
    </row>
    <row r="75" spans="1:7">
      <c r="A75">
        <f>IFERROR(IF(B75="",0,IF(VALUE(LEFT(B75,1))&gt;3,VLOOKUP(VALUE(B75),PROYECCIONES!B:D,3,FALSE),0)),1 + COUNTIF($A$2:A74,"&gt;0"))</f>
        <v>0</v>
      </c>
      <c r="B75" s="52" t="s">
        <v>440</v>
      </c>
      <c r="C75" s="52" t="s">
        <v>441</v>
      </c>
      <c r="D75" s="53">
        <v>-28977138</v>
      </c>
      <c r="E75" s="53">
        <v>28977138</v>
      </c>
      <c r="F75" s="53">
        <v>0</v>
      </c>
      <c r="G75" s="53">
        <v>0</v>
      </c>
    </row>
    <row r="76" spans="1:7">
      <c r="A76">
        <f>IFERROR(IF(B76="",0,IF(VALUE(LEFT(B76,1))&gt;3,VLOOKUP(VALUE(B76),PROYECCIONES!B:D,3,FALSE),0)),1 + COUNTIF($A$2:A75,"&gt;0"))</f>
        <v>0</v>
      </c>
      <c r="B76" s="52" t="s">
        <v>303</v>
      </c>
      <c r="C76" s="52" t="s">
        <v>256</v>
      </c>
      <c r="D76" s="53">
        <v>-3.5762786865234401E-7</v>
      </c>
      <c r="E76" s="53">
        <v>44921114.039999999</v>
      </c>
      <c r="F76" s="53">
        <v>73684143.579999998</v>
      </c>
      <c r="G76" s="53">
        <v>-28763029.540000301</v>
      </c>
    </row>
    <row r="77" spans="1:7">
      <c r="A77">
        <f>IFERROR(IF(B77="",0,IF(VALUE(LEFT(B77,1))&gt;3,VLOOKUP(VALUE(B77),PROYECCIONES!B:D,3,FALSE),0)),1 + COUNTIF($A$2:A76,"&gt;0"))</f>
        <v>0</v>
      </c>
      <c r="B77" s="52" t="s">
        <v>304</v>
      </c>
      <c r="C77" s="52" t="s">
        <v>257</v>
      </c>
      <c r="D77" s="53">
        <v>5.5879354476928703E-9</v>
      </c>
      <c r="E77" s="53">
        <v>3549276.46</v>
      </c>
      <c r="F77" s="53">
        <v>2058340.24</v>
      </c>
      <c r="G77" s="53">
        <v>1490936.22000001</v>
      </c>
    </row>
    <row r="78" spans="1:7">
      <c r="A78">
        <f>IFERROR(IF(B78="",0,IF(VALUE(LEFT(B78,1))&gt;3,VLOOKUP(VALUE(B78),PROYECCIONES!B:D,3,FALSE),0)),1 + COUNTIF($A$2:A77,"&gt;0"))</f>
        <v>0</v>
      </c>
      <c r="B78" s="52" t="s">
        <v>305</v>
      </c>
      <c r="C78" s="52" t="s">
        <v>258</v>
      </c>
      <c r="D78" s="53">
        <v>7.4505805969238298E-9</v>
      </c>
      <c r="E78" s="53">
        <v>6373169.0099999998</v>
      </c>
      <c r="F78" s="53">
        <v>4005287.99</v>
      </c>
      <c r="G78" s="53">
        <v>2367881.02</v>
      </c>
    </row>
    <row r="79" spans="1:7">
      <c r="A79">
        <f>IFERROR(IF(B79="",0,IF(VALUE(LEFT(B79,1))&gt;3,VLOOKUP(VALUE(B79),PROYECCIONES!B:D,3,FALSE),0)),1 + COUNTIF($A$2:A78,"&gt;0"))</f>
        <v>0</v>
      </c>
      <c r="B79" s="52" t="s">
        <v>384</v>
      </c>
      <c r="C79" s="52" t="s">
        <v>385</v>
      </c>
      <c r="D79" s="53">
        <v>0</v>
      </c>
      <c r="E79" s="53">
        <v>368059.82</v>
      </c>
      <c r="F79" s="53">
        <v>299253.75</v>
      </c>
      <c r="G79" s="53">
        <v>68806.070000000094</v>
      </c>
    </row>
    <row r="80" spans="1:7">
      <c r="A80">
        <f>IFERROR(IF(B80="",0,IF(VALUE(LEFT(B80,1))&gt;3,VLOOKUP(VALUE(B80),PROYECCIONES!B:D,3,FALSE),0)),1 + COUNTIF($A$2:A79,"&gt;0"))</f>
        <v>0</v>
      </c>
      <c r="B80" s="52" t="s">
        <v>576</v>
      </c>
      <c r="C80" s="52" t="s">
        <v>577</v>
      </c>
      <c r="D80" s="53">
        <v>1.8626451492309599E-9</v>
      </c>
      <c r="E80" s="53">
        <v>342000</v>
      </c>
      <c r="F80" s="53">
        <v>0</v>
      </c>
      <c r="G80" s="53">
        <v>342000.00000000198</v>
      </c>
    </row>
    <row r="81" spans="1:7">
      <c r="A81">
        <f>IFERROR(IF(B81="",0,IF(VALUE(LEFT(B81,1))&gt;3,VLOOKUP(VALUE(B81),PROYECCIONES!B:D,3,FALSE),0)),1 + COUNTIF($A$2:A80,"&gt;0"))</f>
        <v>0</v>
      </c>
      <c r="B81" s="52" t="s">
        <v>475</v>
      </c>
      <c r="C81" s="52" t="s">
        <v>476</v>
      </c>
      <c r="D81" s="53">
        <v>-35410863.340000004</v>
      </c>
      <c r="E81" s="53">
        <v>35410863.340000004</v>
      </c>
      <c r="F81" s="53">
        <v>37230845.060000002</v>
      </c>
      <c r="G81" s="53">
        <v>-37230845.060000002</v>
      </c>
    </row>
    <row r="82" spans="1:7">
      <c r="A82">
        <f>IFERROR(IF(B82="",0,IF(VALUE(LEFT(B82,1))&gt;3,VLOOKUP(VALUE(B82),PROYECCIONES!B:D,3,FALSE),0)),1 + COUNTIF($A$2:A81,"&gt;0"))</f>
        <v>0</v>
      </c>
      <c r="B82" s="52" t="s">
        <v>306</v>
      </c>
      <c r="C82" s="52" t="s">
        <v>89</v>
      </c>
      <c r="D82" s="53">
        <v>-1786000</v>
      </c>
      <c r="E82" s="53">
        <v>112121674</v>
      </c>
      <c r="F82" s="53">
        <v>114911990</v>
      </c>
      <c r="G82" s="53">
        <v>-4576316</v>
      </c>
    </row>
    <row r="83" spans="1:7">
      <c r="A83">
        <f>IFERROR(IF(B83="",0,IF(VALUE(LEFT(B83,1))&gt;3,VLOOKUP(VALUE(B83),PROYECCIONES!B:D,3,FALSE),0)),1 + COUNTIF($A$2:A82,"&gt;0"))</f>
        <v>0</v>
      </c>
      <c r="B83" s="52" t="s">
        <v>307</v>
      </c>
      <c r="C83" s="52" t="s">
        <v>259</v>
      </c>
      <c r="D83" s="53">
        <v>-14595603</v>
      </c>
      <c r="E83" s="53">
        <v>14595603</v>
      </c>
      <c r="F83" s="53">
        <v>0</v>
      </c>
      <c r="G83" s="53">
        <v>0</v>
      </c>
    </row>
    <row r="84" spans="1:7">
      <c r="A84">
        <f>IFERROR(IF(B84="",0,IF(VALUE(LEFT(B84,1))&gt;3,VLOOKUP(VALUE(B84),PROYECCIONES!B:D,3,FALSE),0)),1 + COUNTIF($A$2:A83,"&gt;0"))</f>
        <v>0</v>
      </c>
      <c r="B84" s="52" t="s">
        <v>308</v>
      </c>
      <c r="C84" s="52" t="s">
        <v>260</v>
      </c>
      <c r="D84" s="53">
        <v>-1568734</v>
      </c>
      <c r="E84" s="53">
        <v>1568734</v>
      </c>
      <c r="F84" s="53">
        <v>0</v>
      </c>
      <c r="G84" s="53">
        <v>0</v>
      </c>
    </row>
    <row r="85" spans="1:7">
      <c r="A85">
        <f>IFERROR(IF(B85="",0,IF(VALUE(LEFT(B85,1))&gt;3,VLOOKUP(VALUE(B85),PROYECCIONES!B:D,3,FALSE),0)),1 + COUNTIF($A$2:A84,"&gt;0"))</f>
        <v>0</v>
      </c>
      <c r="B85" s="52" t="s">
        <v>578</v>
      </c>
      <c r="C85" s="52" t="s">
        <v>579</v>
      </c>
      <c r="D85" s="53">
        <v>0</v>
      </c>
      <c r="E85" s="53">
        <v>8021734</v>
      </c>
      <c r="F85" s="53">
        <v>8021734</v>
      </c>
      <c r="G85" s="53">
        <v>0</v>
      </c>
    </row>
    <row r="86" spans="1:7">
      <c r="A86">
        <f>IFERROR(IF(B86="",0,IF(VALUE(LEFT(B86,1))&gt;3,VLOOKUP(VALUE(B86),PROYECCIONES!B:D,3,FALSE),0)),1 + COUNTIF($A$2:A85,"&gt;0"))</f>
        <v>0</v>
      </c>
      <c r="B86" s="52" t="s">
        <v>446</v>
      </c>
      <c r="C86" s="52" t="s">
        <v>447</v>
      </c>
      <c r="D86" s="53">
        <v>0</v>
      </c>
      <c r="E86" s="53">
        <v>0</v>
      </c>
      <c r="F86" s="53">
        <v>7946738</v>
      </c>
      <c r="G86" s="53">
        <v>-7946738</v>
      </c>
    </row>
    <row r="87" spans="1:7">
      <c r="A87">
        <f>IFERROR(IF(B87="",0,IF(VALUE(LEFT(B87,1))&gt;3,VLOOKUP(VALUE(B87),PROYECCIONES!B:D,3,FALSE),0)),1 + COUNTIF($A$2:A86,"&gt;0"))</f>
        <v>0</v>
      </c>
      <c r="B87" s="52" t="s">
        <v>448</v>
      </c>
      <c r="C87" s="52" t="s">
        <v>449</v>
      </c>
      <c r="D87" s="53">
        <v>0</v>
      </c>
      <c r="E87" s="53">
        <v>0</v>
      </c>
      <c r="F87" s="53">
        <v>953616</v>
      </c>
      <c r="G87" s="53">
        <v>-953616</v>
      </c>
    </row>
    <row r="88" spans="1:7">
      <c r="A88">
        <f>IFERROR(IF(B88="",0,IF(VALUE(LEFT(B88,1))&gt;3,VLOOKUP(VALUE(B88),PROYECCIONES!B:D,3,FALSE),0)),1 + COUNTIF($A$2:A87,"&gt;0"))</f>
        <v>0</v>
      </c>
      <c r="B88" s="52" t="s">
        <v>450</v>
      </c>
      <c r="C88" s="52" t="s">
        <v>451</v>
      </c>
      <c r="D88" s="53">
        <v>0</v>
      </c>
      <c r="E88" s="53">
        <v>0</v>
      </c>
      <c r="F88" s="53">
        <v>3836676</v>
      </c>
      <c r="G88" s="53">
        <v>-3836676</v>
      </c>
    </row>
    <row r="89" spans="1:7">
      <c r="A89">
        <f>IFERROR(IF(B89="",0,IF(VALUE(LEFT(B89,1))&gt;3,VLOOKUP(VALUE(B89),PROYECCIONES!B:D,3,FALSE),0)),1 + COUNTIF($A$2:A88,"&gt;0"))</f>
        <v>0</v>
      </c>
      <c r="B89" s="52" t="s">
        <v>452</v>
      </c>
      <c r="C89" s="52" t="s">
        <v>453</v>
      </c>
      <c r="D89" s="53">
        <v>0</v>
      </c>
      <c r="E89" s="53">
        <v>8021734</v>
      </c>
      <c r="F89" s="53">
        <v>6578749</v>
      </c>
      <c r="G89" s="53">
        <v>1442985</v>
      </c>
    </row>
    <row r="90" spans="1:7">
      <c r="A90">
        <f>IFERROR(IF(B90="",0,IF(VALUE(LEFT(B90,1))&gt;3,VLOOKUP(VALUE(B90),PROYECCIONES!B:D,3,FALSE),0)),1 + COUNTIF($A$2:A89,"&gt;0"))</f>
        <v>0</v>
      </c>
      <c r="B90" s="52" t="s">
        <v>593</v>
      </c>
      <c r="C90" s="52" t="s">
        <v>594</v>
      </c>
      <c r="D90" s="53">
        <v>0</v>
      </c>
      <c r="E90" s="53">
        <v>26977138</v>
      </c>
      <c r="F90" s="53">
        <v>26977138</v>
      </c>
      <c r="G90" s="53">
        <v>0</v>
      </c>
    </row>
    <row r="91" spans="1:7">
      <c r="A91">
        <f>IFERROR(IF(B91="",0,IF(VALUE(LEFT(B91,1))&gt;3,VLOOKUP(VALUE(B91),PROYECCIONES!B:D,3,FALSE),0)),1 + COUNTIF($A$2:A90,"&gt;0"))</f>
        <v>0</v>
      </c>
      <c r="B91" s="52" t="s">
        <v>477</v>
      </c>
      <c r="C91" s="52" t="s">
        <v>478</v>
      </c>
      <c r="D91" s="53">
        <v>-3778917.1</v>
      </c>
      <c r="E91" s="53">
        <v>3778917.1</v>
      </c>
      <c r="F91" s="53">
        <v>0</v>
      </c>
      <c r="G91" s="53">
        <v>0</v>
      </c>
    </row>
    <row r="92" spans="1:7">
      <c r="A92">
        <f>IFERROR(IF(B92="",0,IF(VALUE(LEFT(B92,1))&gt;3,VLOOKUP(VALUE(B92),PROYECCIONES!B:D,3,FALSE),0)),1 + COUNTIF($A$2:A91,"&gt;0"))</f>
        <v>0</v>
      </c>
      <c r="B92" s="52" t="s">
        <v>479</v>
      </c>
      <c r="C92" s="52" t="s">
        <v>480</v>
      </c>
      <c r="D92" s="53">
        <v>-180390</v>
      </c>
      <c r="E92" s="53">
        <v>180390</v>
      </c>
      <c r="F92" s="53">
        <v>0</v>
      </c>
      <c r="G92" s="53">
        <v>0</v>
      </c>
    </row>
    <row r="93" spans="1:7">
      <c r="A93">
        <f>IFERROR(IF(B93="",0,IF(VALUE(LEFT(B93,1))&gt;3,VLOOKUP(VALUE(B93),PROYECCIONES!B:D,3,FALSE),0)),1 + COUNTIF($A$2:A92,"&gt;0"))</f>
        <v>0</v>
      </c>
      <c r="B93" s="52" t="s">
        <v>587</v>
      </c>
      <c r="C93" s="52" t="s">
        <v>588</v>
      </c>
      <c r="D93" s="53">
        <v>0</v>
      </c>
      <c r="E93" s="53">
        <v>0</v>
      </c>
      <c r="F93" s="53">
        <v>107913</v>
      </c>
      <c r="G93" s="53">
        <v>-107913</v>
      </c>
    </row>
    <row r="94" spans="1:7">
      <c r="A94">
        <f>IFERROR(IF(B94="",0,IF(VALUE(LEFT(B94,1))&gt;3,VLOOKUP(VALUE(B94),PROYECCIONES!B:D,3,FALSE),0)),1 + COUNTIF($A$2:A93,"&gt;0"))</f>
        <v>0</v>
      </c>
      <c r="B94" s="52" t="s">
        <v>309</v>
      </c>
      <c r="C94" s="52" t="s">
        <v>261</v>
      </c>
      <c r="D94" s="53">
        <v>-100000000</v>
      </c>
      <c r="E94" s="53">
        <v>0</v>
      </c>
      <c r="F94" s="53">
        <v>0</v>
      </c>
      <c r="G94" s="53">
        <v>-100000000</v>
      </c>
    </row>
    <row r="95" spans="1:7">
      <c r="A95">
        <f>IFERROR(IF(B95="",0,IF(VALUE(LEFT(B95,1))&gt;3,VLOOKUP(VALUE(B95),PROYECCIONES!B:D,3,FALSE),0)),1 + COUNTIF($A$2:A94,"&gt;0"))</f>
        <v>0</v>
      </c>
      <c r="B95" s="52" t="s">
        <v>310</v>
      </c>
      <c r="C95" s="52" t="s">
        <v>262</v>
      </c>
      <c r="D95" s="53">
        <v>69000000</v>
      </c>
      <c r="E95" s="53">
        <v>0</v>
      </c>
      <c r="F95" s="53">
        <v>0</v>
      </c>
      <c r="G95" s="53">
        <v>69000000</v>
      </c>
    </row>
    <row r="96" spans="1:7">
      <c r="A96">
        <f>IFERROR(IF(B96="",0,IF(VALUE(LEFT(B96,1))&gt;3,VLOOKUP(VALUE(B96),PROYECCIONES!B:D,3,FALSE),0)),1 + COUNTIF($A$2:A95,"&gt;0"))</f>
        <v>0</v>
      </c>
      <c r="B96" s="52" t="s">
        <v>481</v>
      </c>
      <c r="C96" s="52" t="s">
        <v>482</v>
      </c>
      <c r="D96" s="53">
        <v>-41626840.030000001</v>
      </c>
      <c r="E96" s="53">
        <v>41626840.030000001</v>
      </c>
      <c r="F96" s="53">
        <v>0</v>
      </c>
      <c r="G96" s="53">
        <v>0</v>
      </c>
    </row>
    <row r="97" spans="1:7">
      <c r="A97">
        <f>IFERROR(IF(B97="",0,IF(VALUE(LEFT(B97,1))&gt;3,VLOOKUP(VALUE(B97),PROYECCIONES!B:D,3,FALSE),0)),1 + COUNTIF($A$2:A96,"&gt;0"))</f>
        <v>0</v>
      </c>
      <c r="B97" s="52" t="s">
        <v>521</v>
      </c>
      <c r="C97" s="52" t="s">
        <v>522</v>
      </c>
      <c r="D97" s="53">
        <v>0</v>
      </c>
      <c r="E97" s="53">
        <v>22802400</v>
      </c>
      <c r="F97" s="53">
        <v>121913000</v>
      </c>
      <c r="G97" s="53">
        <v>-99110600</v>
      </c>
    </row>
    <row r="98" spans="1:7">
      <c r="A98">
        <f>IFERROR(IF(B98="",0,IF(VALUE(LEFT(B98,1))&gt;3,VLOOKUP(VALUE(B98),PROYECCIONES!B:D,3,FALSE),0)),1 + COUNTIF($A$2:A97,"&gt;0"))</f>
        <v>0</v>
      </c>
      <c r="B98" s="52" t="s">
        <v>523</v>
      </c>
      <c r="C98" s="52" t="s">
        <v>524</v>
      </c>
      <c r="D98" s="53">
        <v>0</v>
      </c>
      <c r="E98" s="53">
        <v>0</v>
      </c>
      <c r="F98" s="53">
        <v>9320635</v>
      </c>
      <c r="G98" s="53">
        <v>-9320635</v>
      </c>
    </row>
    <row r="99" spans="1:7">
      <c r="A99">
        <f>IFERROR(IF(B99="",0,IF(VALUE(LEFT(B99,1))&gt;3,VLOOKUP(VALUE(B99),PROYECCIONES!B:D,3,FALSE),0)),1 + COUNTIF($A$2:A98,"&gt;0"))</f>
        <v>0</v>
      </c>
      <c r="B99" s="52" t="s">
        <v>525</v>
      </c>
      <c r="C99" s="52" t="s">
        <v>526</v>
      </c>
      <c r="D99" s="53">
        <v>0</v>
      </c>
      <c r="E99" s="53">
        <v>0</v>
      </c>
      <c r="F99" s="53">
        <v>106347119</v>
      </c>
      <c r="G99" s="53">
        <v>-106347119</v>
      </c>
    </row>
    <row r="100" spans="1:7">
      <c r="A100">
        <f>IFERROR(IF(B100="",0,IF(VALUE(LEFT(B100,1))&gt;3,VLOOKUP(VALUE(B100),PROYECCIONES!B:D,3,FALSE),0)),1 + COUNTIF($A$2:A99,"&gt;0"))</f>
        <v>0</v>
      </c>
      <c r="B100" s="52" t="s">
        <v>527</v>
      </c>
      <c r="C100" s="52" t="s">
        <v>528</v>
      </c>
      <c r="D100" s="53">
        <v>0</v>
      </c>
      <c r="E100" s="53">
        <v>0</v>
      </c>
      <c r="F100" s="53">
        <v>41185457</v>
      </c>
      <c r="G100" s="53">
        <v>-41185457</v>
      </c>
    </row>
    <row r="101" spans="1:7">
      <c r="A101">
        <f>IFERROR(IF(B101="",0,IF(VALUE(LEFT(B101,1))&gt;3,VLOOKUP(VALUE(B101),PROYECCIONES!B:D,3,FALSE),0)),1 + COUNTIF($A$2:A100,"&gt;0"))</f>
        <v>0</v>
      </c>
      <c r="B101" s="52" t="s">
        <v>529</v>
      </c>
      <c r="C101" s="52" t="s">
        <v>530</v>
      </c>
      <c r="D101" s="53">
        <v>0</v>
      </c>
      <c r="E101" s="53">
        <v>0</v>
      </c>
      <c r="F101" s="53">
        <v>46049185</v>
      </c>
      <c r="G101" s="53">
        <v>-46049185</v>
      </c>
    </row>
    <row r="102" spans="1:7">
      <c r="A102">
        <f>IFERROR(IF(B102="",0,IF(VALUE(LEFT(B102,1))&gt;3,VLOOKUP(VALUE(B102),PROYECCIONES!B:D,3,FALSE),0)),1 + COUNTIF($A$2:A101,"&gt;0"))</f>
        <v>0</v>
      </c>
      <c r="B102" s="52" t="s">
        <v>531</v>
      </c>
      <c r="C102" s="52" t="s">
        <v>532</v>
      </c>
      <c r="D102" s="53">
        <v>0</v>
      </c>
      <c r="E102" s="53">
        <v>0</v>
      </c>
      <c r="F102" s="53">
        <v>41626840.030000001</v>
      </c>
      <c r="G102" s="53">
        <v>-41626840.030000001</v>
      </c>
    </row>
    <row r="103" spans="1:7">
      <c r="A103">
        <f>IFERROR(IF(B103="",0,IF(VALUE(LEFT(B103,1))&gt;3,VLOOKUP(VALUE(B103),PROYECCIONES!B:D,3,FALSE),0)),1 + COUNTIF($A$2:A102,"&gt;0"))</f>
        <v>0</v>
      </c>
      <c r="B103" s="52" t="s">
        <v>311</v>
      </c>
      <c r="C103" s="52" t="s">
        <v>263</v>
      </c>
      <c r="D103" s="53">
        <v>-324855397.33999997</v>
      </c>
      <c r="E103" s="53">
        <v>324855397.33999997</v>
      </c>
      <c r="F103" s="53">
        <v>0</v>
      </c>
      <c r="G103" s="53">
        <v>-5.9604644775390599E-8</v>
      </c>
    </row>
    <row r="104" spans="1:7">
      <c r="A104">
        <f>IFERROR(IF(B104="",0,IF(VALUE(LEFT(B104,1))&gt;3,VLOOKUP(VALUE(B104),PROYECCIONES!B:D,3,FALSE),0)),1 + COUNTIF($A$2:A103,"&gt;0"))</f>
        <v>0</v>
      </c>
      <c r="B104" s="52" t="s">
        <v>312</v>
      </c>
      <c r="C104" s="52" t="s">
        <v>119</v>
      </c>
      <c r="D104" s="53">
        <v>0</v>
      </c>
      <c r="E104" s="53">
        <v>0</v>
      </c>
      <c r="F104" s="53">
        <v>297168139</v>
      </c>
      <c r="G104" s="53">
        <v>-297168139</v>
      </c>
    </row>
    <row r="105" spans="1:7">
      <c r="A105">
        <f>IFERROR(IF(B105="",0,IF(VALUE(LEFT(B105,1))&gt;3,VLOOKUP(VALUE(B105),PROYECCIONES!B:D,3,FALSE),0)),1 + COUNTIF($A$2:A104,"&gt;0"))</f>
        <v>0</v>
      </c>
      <c r="B105" s="52" t="s">
        <v>386</v>
      </c>
      <c r="C105" s="52" t="s">
        <v>120</v>
      </c>
      <c r="D105" s="53">
        <v>0</v>
      </c>
      <c r="E105" s="53">
        <v>0</v>
      </c>
      <c r="F105" s="53">
        <v>81434143</v>
      </c>
      <c r="G105" s="53">
        <v>-81434143</v>
      </c>
    </row>
    <row r="106" spans="1:7">
      <c r="A106">
        <f>IFERROR(IF(B106="",0,IF(VALUE(LEFT(B106,1))&gt;3,VLOOKUP(VALUE(B106),PROYECCIONES!B:D,3,FALSE),0)),1 + COUNTIF($A$2:A105,"&gt;0"))</f>
        <v>0</v>
      </c>
      <c r="B106" s="52" t="s">
        <v>540</v>
      </c>
      <c r="C106" s="52" t="s">
        <v>191</v>
      </c>
      <c r="D106" s="53">
        <v>0</v>
      </c>
      <c r="E106" s="53">
        <v>0</v>
      </c>
      <c r="F106" s="53">
        <v>1009000</v>
      </c>
      <c r="G106" s="53">
        <v>-1009000</v>
      </c>
    </row>
    <row r="107" spans="1:7">
      <c r="A107">
        <f>IFERROR(IF(B107="",0,IF(VALUE(LEFT(B107,1))&gt;3,VLOOKUP(VALUE(B107),PROYECCIONES!B:D,3,FALSE),0)),1 + COUNTIF($A$2:A106,"&gt;0"))</f>
        <v>0</v>
      </c>
      <c r="B107" s="52" t="s">
        <v>541</v>
      </c>
      <c r="C107" s="52" t="s">
        <v>200</v>
      </c>
      <c r="D107" s="53">
        <v>0</v>
      </c>
      <c r="E107" s="53">
        <v>0</v>
      </c>
      <c r="F107" s="53">
        <v>7000000</v>
      </c>
      <c r="G107" s="53">
        <v>-7000000</v>
      </c>
    </row>
    <row r="108" spans="1:7">
      <c r="A108">
        <f>IFERROR(IF(B108="",0,IF(VALUE(LEFT(B108,1))&gt;3,VLOOKUP(VALUE(B108),PROYECCIONES!B:D,3,FALSE),0)),1 + COUNTIF($A$2:A107,"&gt;0"))</f>
        <v>0</v>
      </c>
      <c r="B108" s="52" t="s">
        <v>560</v>
      </c>
      <c r="C108" s="52" t="s">
        <v>419</v>
      </c>
      <c r="D108" s="53">
        <v>0</v>
      </c>
      <c r="E108" s="53">
        <v>0</v>
      </c>
      <c r="F108" s="53">
        <v>1200000</v>
      </c>
      <c r="G108" s="53">
        <v>-1200000</v>
      </c>
    </row>
    <row r="109" spans="1:7">
      <c r="A109">
        <f>IFERROR(IF(B109="",0,IF(VALUE(LEFT(B109,1))&gt;3,VLOOKUP(VALUE(B109),PROYECCIONES!B:D,3,FALSE),0)),1 + COUNTIF($A$2:A108,"&gt;0"))</f>
        <v>0</v>
      </c>
      <c r="B109" s="52" t="s">
        <v>580</v>
      </c>
      <c r="C109" s="52" t="s">
        <v>121</v>
      </c>
      <c r="D109" s="53">
        <v>0</v>
      </c>
      <c r="E109" s="53">
        <v>1800000</v>
      </c>
      <c r="F109" s="53">
        <v>0</v>
      </c>
      <c r="G109" s="53">
        <v>1800000</v>
      </c>
    </row>
    <row r="110" spans="1:7">
      <c r="A110">
        <f>IFERROR(IF(B110="",0,IF(VALUE(LEFT(B110,1))&gt;3,VLOOKUP(VALUE(B110),PROYECCIONES!B:D,3,FALSE),0)),1 + COUNTIF($A$2:A109,"&gt;0"))</f>
        <v>0</v>
      </c>
      <c r="B110" s="52" t="s">
        <v>313</v>
      </c>
      <c r="C110" s="52" t="s">
        <v>122</v>
      </c>
      <c r="D110" s="53">
        <v>2.91038304567337E-11</v>
      </c>
      <c r="E110" s="53">
        <v>0</v>
      </c>
      <c r="F110" s="53">
        <v>9201.64</v>
      </c>
      <c r="G110" s="53">
        <v>-9201.6399999999703</v>
      </c>
    </row>
    <row r="111" spans="1:7">
      <c r="A111">
        <f>IFERROR(IF(B111="",0,IF(VALUE(LEFT(B111,1))&gt;3,VLOOKUP(VALUE(B111),PROYECCIONES!B:D,3,FALSE),0)),1 + COUNTIF($A$2:A110,"&gt;0"))</f>
        <v>0</v>
      </c>
      <c r="B111" s="52" t="s">
        <v>598</v>
      </c>
      <c r="C111" s="52" t="s">
        <v>599</v>
      </c>
      <c r="D111" s="53">
        <v>0</v>
      </c>
      <c r="E111" s="53">
        <v>0</v>
      </c>
      <c r="F111" s="53">
        <v>1645138.5</v>
      </c>
      <c r="G111" s="53">
        <v>-1645138.5</v>
      </c>
    </row>
    <row r="112" spans="1:7">
      <c r="A112">
        <f>IFERROR(IF(B112="",0,IF(VALUE(LEFT(B112,1))&gt;3,VLOOKUP(VALUE(B112),PROYECCIONES!B:D,3,FALSE),0)),1 + COUNTIF($A$2:A111,"&gt;0"))</f>
        <v>0</v>
      </c>
      <c r="B112" s="52" t="s">
        <v>542</v>
      </c>
      <c r="C112" s="52" t="s">
        <v>543</v>
      </c>
      <c r="D112" s="53">
        <v>0</v>
      </c>
      <c r="E112" s="53">
        <v>0</v>
      </c>
      <c r="F112" s="53">
        <v>146250</v>
      </c>
      <c r="G112" s="53">
        <v>-146250</v>
      </c>
    </row>
    <row r="113" spans="1:7">
      <c r="A113">
        <f>IFERROR(IF(B113="",0,IF(VALUE(LEFT(B113,1))&gt;3,VLOOKUP(VALUE(B113),PROYECCIONES!B:D,3,FALSE),0)),1 + COUNTIF($A$2:A112,"&gt;0"))</f>
        <v>0</v>
      </c>
      <c r="B113" s="52" t="s">
        <v>314</v>
      </c>
      <c r="C113" s="52" t="s">
        <v>99</v>
      </c>
      <c r="D113" s="53">
        <v>0</v>
      </c>
      <c r="E113" s="53">
        <v>0</v>
      </c>
      <c r="F113" s="53">
        <v>25.190000000001199</v>
      </c>
      <c r="G113" s="53">
        <v>-25.1900000000023</v>
      </c>
    </row>
    <row r="114" spans="1:7">
      <c r="A114">
        <f>IFERROR(IF(B114="",0,IF(VALUE(LEFT(B114,1))&gt;3,VLOOKUP(VALUE(B114),PROYECCIONES!B:D,3,FALSE),0)),1 + COUNTIF($A$2:A113,"&gt;0"))</f>
        <v>0</v>
      </c>
      <c r="B114" s="52" t="s">
        <v>315</v>
      </c>
      <c r="C114" s="52" t="s">
        <v>100</v>
      </c>
      <c r="D114" s="53">
        <v>0</v>
      </c>
      <c r="E114" s="53">
        <v>36526667</v>
      </c>
      <c r="F114" s="53">
        <v>0</v>
      </c>
      <c r="G114" s="53">
        <v>36526667</v>
      </c>
    </row>
    <row r="115" spans="1:7">
      <c r="A115">
        <f>IFERROR(IF(B115="",0,IF(VALUE(LEFT(B115,1))&gt;3,VLOOKUP(VALUE(B115),PROYECCIONES!B:D,3,FALSE),0)),1 + COUNTIF($A$2:A114,"&gt;0"))</f>
        <v>0</v>
      </c>
      <c r="B115" s="52" t="s">
        <v>316</v>
      </c>
      <c r="C115" s="52" t="s">
        <v>101</v>
      </c>
      <c r="D115" s="53">
        <v>0</v>
      </c>
      <c r="E115" s="53">
        <v>1196266</v>
      </c>
      <c r="F115" s="53">
        <v>0</v>
      </c>
      <c r="G115" s="53">
        <v>1196266</v>
      </c>
    </row>
    <row r="116" spans="1:7">
      <c r="A116">
        <f>IFERROR(IF(B116="",0,IF(VALUE(LEFT(B116,1))&gt;3,VLOOKUP(VALUE(B116),PROYECCIONES!B:D,3,FALSE),0)),1 + COUNTIF($A$2:A115,"&gt;0"))</f>
        <v>0</v>
      </c>
      <c r="B116" s="52" t="s">
        <v>317</v>
      </c>
      <c r="C116" s="52" t="s">
        <v>96</v>
      </c>
      <c r="D116" s="53">
        <v>0</v>
      </c>
      <c r="E116" s="53">
        <v>3230978</v>
      </c>
      <c r="F116" s="53">
        <v>0</v>
      </c>
      <c r="G116" s="53">
        <v>3230978</v>
      </c>
    </row>
    <row r="117" spans="1:7">
      <c r="A117">
        <f>IFERROR(IF(B117="",0,IF(VALUE(LEFT(B117,1))&gt;3,VLOOKUP(VALUE(B117),PROYECCIONES!B:D,3,FALSE),0)),1 + COUNTIF($A$2:A116,"&gt;0"))</f>
        <v>0</v>
      </c>
      <c r="B117" s="52" t="s">
        <v>318</v>
      </c>
      <c r="C117" s="52" t="s">
        <v>102</v>
      </c>
      <c r="D117" s="53">
        <v>0</v>
      </c>
      <c r="E117" s="53">
        <v>387720</v>
      </c>
      <c r="F117" s="53">
        <v>0</v>
      </c>
      <c r="G117" s="53">
        <v>387720</v>
      </c>
    </row>
    <row r="118" spans="1:7">
      <c r="A118">
        <f>IFERROR(IF(B118="",0,IF(VALUE(LEFT(B118,1))&gt;3,VLOOKUP(VALUE(B118),PROYECCIONES!B:D,3,FALSE),0)),1 + COUNTIF($A$2:A117,"&gt;0"))</f>
        <v>0</v>
      </c>
      <c r="B118" s="52" t="s">
        <v>319</v>
      </c>
      <c r="C118" s="52" t="s">
        <v>97</v>
      </c>
      <c r="D118" s="53">
        <v>0</v>
      </c>
      <c r="E118" s="53">
        <v>2661449</v>
      </c>
      <c r="F118" s="53">
        <v>0</v>
      </c>
      <c r="G118" s="53">
        <v>2661449</v>
      </c>
    </row>
    <row r="119" spans="1:7">
      <c r="A119">
        <f>IFERROR(IF(B119="",0,IF(VALUE(LEFT(B119,1))&gt;3,VLOOKUP(VALUE(B119),PROYECCIONES!B:D,3,FALSE),0)),1 + COUNTIF($A$2:A118,"&gt;0"))</f>
        <v>0</v>
      </c>
      <c r="B119" s="52" t="s">
        <v>320</v>
      </c>
      <c r="C119" s="52" t="s">
        <v>98</v>
      </c>
      <c r="D119" s="53">
        <v>0</v>
      </c>
      <c r="E119" s="53">
        <v>1566672</v>
      </c>
      <c r="F119" s="53">
        <v>0</v>
      </c>
      <c r="G119" s="53">
        <v>1566672</v>
      </c>
    </row>
    <row r="120" spans="1:7">
      <c r="A120">
        <f>IFERROR(IF(B120="",0,IF(VALUE(LEFT(B120,1))&gt;3,VLOOKUP(VALUE(B120),PROYECCIONES!B:D,3,FALSE),0)),1 + COUNTIF($A$2:A119,"&gt;0"))</f>
        <v>0</v>
      </c>
      <c r="B120" s="52" t="s">
        <v>484</v>
      </c>
      <c r="C120" s="52" t="s">
        <v>485</v>
      </c>
      <c r="D120" s="53">
        <v>0</v>
      </c>
      <c r="E120" s="53">
        <v>104040</v>
      </c>
      <c r="F120" s="53">
        <v>0</v>
      </c>
      <c r="G120" s="53">
        <v>104040</v>
      </c>
    </row>
    <row r="121" spans="1:7">
      <c r="A121">
        <f>IFERROR(IF(B121="",0,IF(VALUE(LEFT(B121,1))&gt;3,VLOOKUP(VALUE(B121),PROYECCIONES!B:D,3,FALSE),0)),1 + COUNTIF($A$2:A120,"&gt;0"))</f>
        <v>0</v>
      </c>
      <c r="B121" s="52" t="s">
        <v>387</v>
      </c>
      <c r="C121" s="52" t="s">
        <v>90</v>
      </c>
      <c r="D121" s="53">
        <v>0</v>
      </c>
      <c r="E121" s="53">
        <v>372217.77</v>
      </c>
      <c r="F121" s="53">
        <v>0</v>
      </c>
      <c r="G121" s="53">
        <v>372217.77</v>
      </c>
    </row>
    <row r="122" spans="1:7">
      <c r="A122">
        <f>IFERROR(IF(B122="",0,IF(VALUE(LEFT(B122,1))&gt;3,VLOOKUP(VALUE(B122),PROYECCIONES!B:D,3,FALSE),0)),1 + COUNTIF($A$2:A121,"&gt;0"))</f>
        <v>0</v>
      </c>
      <c r="B122" s="52" t="s">
        <v>321</v>
      </c>
      <c r="C122" s="52" t="s">
        <v>103</v>
      </c>
      <c r="D122" s="53">
        <v>0</v>
      </c>
      <c r="E122" s="53">
        <v>4699000</v>
      </c>
      <c r="F122" s="53">
        <v>0</v>
      </c>
      <c r="G122" s="53">
        <v>4699000</v>
      </c>
    </row>
    <row r="123" spans="1:7">
      <c r="A123">
        <f>IFERROR(IF(B123="",0,IF(VALUE(LEFT(B123,1))&gt;3,VLOOKUP(VALUE(B123),PROYECCIONES!B:D,3,FALSE),0)),1 + COUNTIF($A$2:A122,"&gt;0"))</f>
        <v>0</v>
      </c>
      <c r="B123" s="52" t="s">
        <v>322</v>
      </c>
      <c r="C123" s="52" t="s">
        <v>125</v>
      </c>
      <c r="D123" s="53">
        <v>0</v>
      </c>
      <c r="E123" s="53">
        <v>509412.13</v>
      </c>
      <c r="F123" s="53">
        <v>0</v>
      </c>
      <c r="G123" s="53">
        <v>509412.13000000099</v>
      </c>
    </row>
    <row r="124" spans="1:7">
      <c r="A124">
        <f>IFERROR(IF(B124="",0,IF(VALUE(LEFT(B124,1))&gt;3,VLOOKUP(VALUE(B124),PROYECCIONES!B:D,3,FALSE),0)),1 + COUNTIF($A$2:A123,"&gt;0"))</f>
        <v>0</v>
      </c>
      <c r="B124" s="52" t="s">
        <v>323</v>
      </c>
      <c r="C124" s="52" t="s">
        <v>126</v>
      </c>
      <c r="D124" s="53">
        <v>0</v>
      </c>
      <c r="E124" s="53">
        <v>500000</v>
      </c>
      <c r="F124" s="53">
        <v>0</v>
      </c>
      <c r="G124" s="53">
        <v>500000</v>
      </c>
    </row>
    <row r="125" spans="1:7">
      <c r="A125">
        <f>IFERROR(IF(B125="",0,IF(VALUE(LEFT(B125,1))&gt;3,VLOOKUP(VALUE(B125),PROYECCIONES!B:D,3,FALSE),0)),1 + COUNTIF($A$2:A124,"&gt;0"))</f>
        <v>0</v>
      </c>
      <c r="B125" s="52" t="s">
        <v>324</v>
      </c>
      <c r="C125" s="52" t="s">
        <v>127</v>
      </c>
      <c r="D125" s="53">
        <v>0</v>
      </c>
      <c r="E125" s="53">
        <v>196272</v>
      </c>
      <c r="F125" s="53">
        <v>0</v>
      </c>
      <c r="G125" s="53">
        <v>196272</v>
      </c>
    </row>
    <row r="126" spans="1:7">
      <c r="A126">
        <f>IFERROR(IF(B126="",0,IF(VALUE(LEFT(B126,1))&gt;3,VLOOKUP(VALUE(B126),PROYECCIONES!B:D,3,FALSE),0)),1 + COUNTIF($A$2:A125,"&gt;0"))</f>
        <v>0</v>
      </c>
      <c r="B126" s="52" t="s">
        <v>325</v>
      </c>
      <c r="C126" s="52" t="s">
        <v>128</v>
      </c>
      <c r="D126" s="53">
        <v>0</v>
      </c>
      <c r="E126" s="53">
        <v>3912000</v>
      </c>
      <c r="F126" s="53">
        <v>0</v>
      </c>
      <c r="G126" s="53">
        <v>3912000</v>
      </c>
    </row>
    <row r="127" spans="1:7">
      <c r="A127">
        <f>IFERROR(IF(B127="",0,IF(VALUE(LEFT(B127,1))&gt;3,VLOOKUP(VALUE(B127),PROYECCIONES!B:D,3,FALSE),0)),1 + COUNTIF($A$2:A126,"&gt;0"))</f>
        <v>0</v>
      </c>
      <c r="B127" s="52" t="s">
        <v>326</v>
      </c>
      <c r="C127" s="52" t="s">
        <v>129</v>
      </c>
      <c r="D127" s="53">
        <v>0</v>
      </c>
      <c r="E127" s="53">
        <v>1504000</v>
      </c>
      <c r="F127" s="53">
        <v>0</v>
      </c>
      <c r="G127" s="53">
        <v>1504000</v>
      </c>
    </row>
    <row r="128" spans="1:7">
      <c r="A128">
        <f>IFERROR(IF(B128="",0,IF(VALUE(LEFT(B128,1))&gt;3,VLOOKUP(VALUE(B128),PROYECCIONES!B:D,3,FALSE),0)),1 + COUNTIF($A$2:A127,"&gt;0"))</f>
        <v>0</v>
      </c>
      <c r="B128" s="52" t="s">
        <v>388</v>
      </c>
      <c r="C128" s="52" t="s">
        <v>130</v>
      </c>
      <c r="D128" s="53">
        <v>0</v>
      </c>
      <c r="E128" s="53">
        <v>1444716.81</v>
      </c>
      <c r="F128" s="53">
        <v>0</v>
      </c>
      <c r="G128" s="53">
        <v>1444716.81</v>
      </c>
    </row>
    <row r="129" spans="1:7">
      <c r="A129">
        <f>IFERROR(IF(B129="",0,IF(VALUE(LEFT(B129,1))&gt;3,VLOOKUP(VALUE(B129),PROYECCIONES!B:D,3,FALSE),0)),1 + COUNTIF($A$2:A128,"&gt;0"))</f>
        <v>0</v>
      </c>
      <c r="B129" s="52" t="s">
        <v>389</v>
      </c>
      <c r="C129" s="52" t="s">
        <v>131</v>
      </c>
      <c r="D129" s="53">
        <v>0</v>
      </c>
      <c r="E129" s="53">
        <v>14480000</v>
      </c>
      <c r="F129" s="53">
        <v>0</v>
      </c>
      <c r="G129" s="53">
        <v>14480000</v>
      </c>
    </row>
    <row r="130" spans="1:7">
      <c r="A130">
        <f>IFERROR(IF(B130="",0,IF(VALUE(LEFT(B130,1))&gt;3,VLOOKUP(VALUE(B130),PROYECCIONES!B:D,3,FALSE),0)),1 + COUNTIF($A$2:A129,"&gt;0"))</f>
        <v>0</v>
      </c>
      <c r="B130" s="52" t="s">
        <v>366</v>
      </c>
      <c r="C130" s="52" t="s">
        <v>132</v>
      </c>
      <c r="D130" s="53">
        <v>0</v>
      </c>
      <c r="E130" s="53">
        <v>1400000</v>
      </c>
      <c r="F130" s="53">
        <v>0</v>
      </c>
      <c r="G130" s="53">
        <v>1400000</v>
      </c>
    </row>
    <row r="131" spans="1:7">
      <c r="A131">
        <f>IFERROR(IF(B131="",0,IF(VALUE(LEFT(B131,1))&gt;3,VLOOKUP(VALUE(B131),PROYECCIONES!B:D,3,FALSE),0)),1 + COUNTIF($A$2:A130,"&gt;0"))</f>
        <v>0</v>
      </c>
      <c r="B131" s="52" t="s">
        <v>327</v>
      </c>
      <c r="C131" s="52" t="s">
        <v>133</v>
      </c>
      <c r="D131" s="53">
        <v>0</v>
      </c>
      <c r="E131" s="53">
        <v>1880000</v>
      </c>
      <c r="F131" s="53">
        <v>0</v>
      </c>
      <c r="G131" s="53">
        <v>1880000</v>
      </c>
    </row>
    <row r="132" spans="1:7">
      <c r="A132">
        <f>IFERROR(IF(B132="",0,IF(VALUE(LEFT(B132,1))&gt;3,VLOOKUP(VALUE(B132),PROYECCIONES!B:D,3,FALSE),0)),1 + COUNTIF($A$2:A131,"&gt;0"))</f>
        <v>0</v>
      </c>
      <c r="B132" s="52" t="s">
        <v>581</v>
      </c>
      <c r="C132" s="52" t="s">
        <v>582</v>
      </c>
      <c r="D132" s="53">
        <v>0</v>
      </c>
      <c r="E132" s="53">
        <v>1322150</v>
      </c>
      <c r="F132" s="53">
        <v>0</v>
      </c>
      <c r="G132" s="53">
        <v>1322150</v>
      </c>
    </row>
    <row r="133" spans="1:7">
      <c r="A133">
        <f>IFERROR(IF(B133="",0,IF(VALUE(LEFT(B133,1))&gt;3,VLOOKUP(VALUE(B133),PROYECCIONES!B:D,3,FALSE),0)),1 + COUNTIF($A$2:A132,"&gt;0"))</f>
        <v>0</v>
      </c>
      <c r="B133" s="52" t="s">
        <v>328</v>
      </c>
      <c r="C133" s="52" t="s">
        <v>110</v>
      </c>
      <c r="D133" s="53">
        <v>0</v>
      </c>
      <c r="E133" s="53">
        <v>1807461.15</v>
      </c>
      <c r="F133" s="53">
        <v>0</v>
      </c>
      <c r="G133" s="53">
        <v>1807461.15</v>
      </c>
    </row>
    <row r="134" spans="1:7">
      <c r="A134">
        <f>IFERROR(IF(B134="",0,IF(VALUE(LEFT(B134,1))&gt;3,VLOOKUP(VALUE(B134),PROYECCIONES!B:D,3,FALSE),0)),1 + COUNTIF($A$2:A133,"&gt;0"))</f>
        <v>0</v>
      </c>
      <c r="B134" s="52" t="s">
        <v>412</v>
      </c>
      <c r="C134" s="52" t="s">
        <v>198</v>
      </c>
      <c r="D134" s="53">
        <v>0</v>
      </c>
      <c r="E134" s="53">
        <v>48721.09</v>
      </c>
      <c r="F134" s="53">
        <v>0</v>
      </c>
      <c r="G134" s="53">
        <v>48721.09</v>
      </c>
    </row>
    <row r="135" spans="1:7">
      <c r="A135">
        <f>IFERROR(IF(B135="",0,IF(VALUE(LEFT(B135,1))&gt;3,VLOOKUP(VALUE(B135),PROYECCIONES!B:D,3,FALSE),0)),1 + COUNTIF($A$2:A134,"&gt;0"))</f>
        <v>0</v>
      </c>
      <c r="B135" s="52" t="s">
        <v>583</v>
      </c>
      <c r="C135" s="52" t="s">
        <v>134</v>
      </c>
      <c r="D135" s="53">
        <v>0</v>
      </c>
      <c r="E135" s="53">
        <v>13481.52</v>
      </c>
      <c r="F135" s="53">
        <v>0</v>
      </c>
      <c r="G135" s="53">
        <v>13481.52</v>
      </c>
    </row>
    <row r="136" spans="1:7">
      <c r="A136">
        <f>IFERROR(IF(B136="",0,IF(VALUE(LEFT(B136,1))&gt;3,VLOOKUP(VALUE(B136),PROYECCIONES!B:D,3,FALSE),0)),1 + COUNTIF($A$2:A135,"&gt;0"))</f>
        <v>0</v>
      </c>
      <c r="B136" s="52" t="s">
        <v>329</v>
      </c>
      <c r="C136" s="52" t="s">
        <v>135</v>
      </c>
      <c r="D136" s="53">
        <v>-4.65661287307739E-10</v>
      </c>
      <c r="E136" s="53">
        <v>269252.68</v>
      </c>
      <c r="F136" s="53">
        <v>0</v>
      </c>
      <c r="G136" s="53">
        <v>269252.679999999</v>
      </c>
    </row>
    <row r="137" spans="1:7">
      <c r="A137">
        <f>IFERROR(IF(B137="",0,IF(VALUE(LEFT(B137,1))&gt;3,VLOOKUP(VALUE(B137),PROYECCIONES!B:D,3,FALSE),0)),1 + COUNTIF($A$2:A136,"&gt;0"))</f>
        <v>0</v>
      </c>
      <c r="B137" s="52" t="s">
        <v>330</v>
      </c>
      <c r="C137" s="52" t="s">
        <v>136</v>
      </c>
      <c r="D137" s="53">
        <v>0</v>
      </c>
      <c r="E137" s="53">
        <v>7847630</v>
      </c>
      <c r="F137" s="53">
        <v>0</v>
      </c>
      <c r="G137" s="53">
        <v>7847630</v>
      </c>
    </row>
    <row r="138" spans="1:7">
      <c r="A138">
        <f>IFERROR(IF(B138="",0,IF(VALUE(LEFT(B138,1))&gt;3,VLOOKUP(VALUE(B138),PROYECCIONES!B:D,3,FALSE),0)),1 + COUNTIF($A$2:A137,"&gt;0"))</f>
        <v>0</v>
      </c>
      <c r="B138" s="52" t="s">
        <v>544</v>
      </c>
      <c r="C138" s="52" t="s">
        <v>420</v>
      </c>
      <c r="D138" s="53">
        <v>0</v>
      </c>
      <c r="E138" s="53">
        <v>5569252.46</v>
      </c>
      <c r="F138" s="53">
        <v>0</v>
      </c>
      <c r="G138" s="53">
        <v>5569252.46</v>
      </c>
    </row>
    <row r="139" spans="1:7">
      <c r="A139">
        <f>IFERROR(IF(B139="",0,IF(VALUE(LEFT(B139,1))&gt;3,VLOOKUP(VALUE(B139),PROYECCIONES!B:D,3,FALSE),0)),1 + COUNTIF($A$2:A138,"&gt;0"))</f>
        <v>0</v>
      </c>
      <c r="B139" s="52" t="s">
        <v>561</v>
      </c>
      <c r="C139" s="52" t="s">
        <v>562</v>
      </c>
      <c r="D139" s="53">
        <v>0</v>
      </c>
      <c r="E139" s="53">
        <v>84033</v>
      </c>
      <c r="F139" s="53">
        <v>0</v>
      </c>
      <c r="G139" s="53">
        <v>84033</v>
      </c>
    </row>
    <row r="140" spans="1:7">
      <c r="A140">
        <f>IFERROR(IF(B140="",0,IF(VALUE(LEFT(B140,1))&gt;3,VLOOKUP(VALUE(B140),PROYECCIONES!B:D,3,FALSE),0)),1 + COUNTIF($A$2:A139,"&gt;0"))</f>
        <v>0</v>
      </c>
      <c r="B140" s="52" t="s">
        <v>331</v>
      </c>
      <c r="C140" s="52" t="s">
        <v>137</v>
      </c>
      <c r="D140" s="53">
        <v>0</v>
      </c>
      <c r="E140" s="53">
        <v>2484398</v>
      </c>
      <c r="F140" s="53">
        <v>0</v>
      </c>
      <c r="G140" s="53">
        <v>2484398</v>
      </c>
    </row>
    <row r="141" spans="1:7">
      <c r="A141">
        <f>IFERROR(IF(B141="",0,IF(VALUE(LEFT(B141,1))&gt;3,VLOOKUP(VALUE(B141),PROYECCIONES!B:D,3,FALSE),0)),1 + COUNTIF($A$2:A140,"&gt;0"))</f>
        <v>0</v>
      </c>
      <c r="B141" s="52" t="s">
        <v>332</v>
      </c>
      <c r="C141" s="52" t="s">
        <v>139</v>
      </c>
      <c r="D141" s="53">
        <v>0</v>
      </c>
      <c r="E141" s="53">
        <v>1179095.29</v>
      </c>
      <c r="F141" s="53">
        <v>0</v>
      </c>
      <c r="G141" s="53">
        <v>1179095.29</v>
      </c>
    </row>
    <row r="142" spans="1:7">
      <c r="A142">
        <f>IFERROR(IF(B142="",0,IF(VALUE(LEFT(B142,1))&gt;3,VLOOKUP(VALUE(B142),PROYECCIONES!B:D,3,FALSE),0)),1 + COUNTIF($A$2:A141,"&gt;0"))</f>
        <v>0</v>
      </c>
      <c r="B142" s="52" t="s">
        <v>333</v>
      </c>
      <c r="C142" s="52" t="s">
        <v>140</v>
      </c>
      <c r="D142" s="53">
        <v>-2.3283064365386999E-10</v>
      </c>
      <c r="E142" s="53">
        <v>19218.12</v>
      </c>
      <c r="F142" s="53">
        <v>0</v>
      </c>
      <c r="G142" s="53">
        <v>19218.119999999799</v>
      </c>
    </row>
    <row r="143" spans="1:7">
      <c r="A143">
        <f>IFERROR(IF(B143="",0,IF(VALUE(LEFT(B143,1))&gt;3,VLOOKUP(VALUE(B143),PROYECCIONES!B:D,3,FALSE),0)),1 + COUNTIF($A$2:A142,"&gt;0"))</f>
        <v>0</v>
      </c>
      <c r="B143" s="52" t="s">
        <v>563</v>
      </c>
      <c r="C143" s="52" t="s">
        <v>564</v>
      </c>
      <c r="D143" s="53">
        <v>0</v>
      </c>
      <c r="E143" s="53">
        <v>47038</v>
      </c>
      <c r="F143" s="53">
        <v>0</v>
      </c>
      <c r="G143" s="53">
        <v>47038</v>
      </c>
    </row>
    <row r="144" spans="1:7">
      <c r="A144">
        <f>IFERROR(IF(B144="",0,IF(VALUE(LEFT(B144,1))&gt;3,VLOOKUP(VALUE(B144),PROYECCIONES!B:D,3,FALSE),0)),1 + COUNTIF($A$2:A143,"&gt;0"))</f>
        <v>0</v>
      </c>
      <c r="B144" s="52" t="s">
        <v>334</v>
      </c>
      <c r="C144" s="52" t="s">
        <v>141</v>
      </c>
      <c r="D144" s="53">
        <v>0</v>
      </c>
      <c r="E144" s="53">
        <v>5350000</v>
      </c>
      <c r="F144" s="53">
        <v>0</v>
      </c>
      <c r="G144" s="53">
        <v>5350000</v>
      </c>
    </row>
    <row r="145" spans="1:7">
      <c r="A145">
        <f>IFERROR(IF(B145="",0,IF(VALUE(LEFT(B145,1))&gt;3,VLOOKUP(VALUE(B145),PROYECCIONES!B:D,3,FALSE),0)),1 + COUNTIF($A$2:A144,"&gt;0"))</f>
        <v>0</v>
      </c>
      <c r="B145" s="52" t="s">
        <v>565</v>
      </c>
      <c r="C145" s="52" t="s">
        <v>142</v>
      </c>
      <c r="D145" s="53">
        <v>0</v>
      </c>
      <c r="E145" s="53">
        <v>1214000</v>
      </c>
      <c r="F145" s="53">
        <v>0</v>
      </c>
      <c r="G145" s="53">
        <v>1214000</v>
      </c>
    </row>
    <row r="146" spans="1:7">
      <c r="A146">
        <f>IFERROR(IF(B146="",0,IF(VALUE(LEFT(B146,1))&gt;3,VLOOKUP(VALUE(B146),PROYECCIONES!B:D,3,FALSE),0)),1 + COUNTIF($A$2:A145,"&gt;0"))</f>
        <v>0</v>
      </c>
      <c r="B146" s="52" t="s">
        <v>335</v>
      </c>
      <c r="C146" s="52" t="s">
        <v>143</v>
      </c>
      <c r="D146" s="53">
        <v>0</v>
      </c>
      <c r="E146" s="53">
        <v>253517.99</v>
      </c>
      <c r="F146" s="53">
        <v>0</v>
      </c>
      <c r="G146" s="53">
        <v>253517.99</v>
      </c>
    </row>
    <row r="147" spans="1:7">
      <c r="A147">
        <f>IFERROR(IF(B147="",0,IF(VALUE(LEFT(B147,1))&gt;3,VLOOKUP(VALUE(B147),PROYECCIONES!B:D,3,FALSE),0)),1 + COUNTIF($A$2:A146,"&gt;0"))</f>
        <v>0</v>
      </c>
      <c r="B147" s="52" t="s">
        <v>336</v>
      </c>
      <c r="C147" s="52" t="s">
        <v>144</v>
      </c>
      <c r="D147" s="53">
        <v>0</v>
      </c>
      <c r="E147" s="53">
        <v>1338656.69</v>
      </c>
      <c r="F147" s="53">
        <v>0</v>
      </c>
      <c r="G147" s="53">
        <v>1338656.69</v>
      </c>
    </row>
    <row r="148" spans="1:7">
      <c r="A148">
        <f>IFERROR(IF(B148="",0,IF(VALUE(LEFT(B148,1))&gt;3,VLOOKUP(VALUE(B148),PROYECCIONES!B:D,3,FALSE),0)),1 + COUNTIF($A$2:A147,"&gt;0"))</f>
        <v>0</v>
      </c>
      <c r="B148" s="52" t="s">
        <v>367</v>
      </c>
      <c r="C148" s="52" t="s">
        <v>145</v>
      </c>
      <c r="D148" s="53">
        <v>0</v>
      </c>
      <c r="E148" s="53">
        <v>122291</v>
      </c>
      <c r="F148" s="53">
        <v>0</v>
      </c>
      <c r="G148" s="53">
        <v>122291</v>
      </c>
    </row>
    <row r="149" spans="1:7">
      <c r="A149">
        <f>IFERROR(IF(B149="",0,IF(VALUE(LEFT(B149,1))&gt;3,VLOOKUP(VALUE(B149),PROYECCIONES!B:D,3,FALSE),0)),1 + COUNTIF($A$2:A148,"&gt;0"))</f>
        <v>0</v>
      </c>
      <c r="B149" s="52" t="s">
        <v>337</v>
      </c>
      <c r="C149" s="52" t="s">
        <v>146</v>
      </c>
      <c r="D149" s="53">
        <v>0</v>
      </c>
      <c r="E149" s="53">
        <v>1562015.04</v>
      </c>
      <c r="F149" s="53">
        <v>0</v>
      </c>
      <c r="G149" s="53">
        <v>1562015.04</v>
      </c>
    </row>
    <row r="150" spans="1:7">
      <c r="A150">
        <f>IFERROR(IF(B150="",0,IF(VALUE(LEFT(B150,1))&gt;3,VLOOKUP(VALUE(B150),PROYECCIONES!B:D,3,FALSE),0)),1 + COUNTIF($A$2:A149,"&gt;0"))</f>
        <v>0</v>
      </c>
      <c r="B150" s="52" t="s">
        <v>338</v>
      </c>
      <c r="C150" s="52" t="s">
        <v>147</v>
      </c>
      <c r="D150" s="53">
        <v>0</v>
      </c>
      <c r="E150" s="53">
        <v>157492</v>
      </c>
      <c r="F150" s="53">
        <v>0</v>
      </c>
      <c r="G150" s="53">
        <v>157492</v>
      </c>
    </row>
    <row r="151" spans="1:7">
      <c r="A151">
        <f>IFERROR(IF(B151="",0,IF(VALUE(LEFT(B151,1))&gt;3,VLOOKUP(VALUE(B151),PROYECCIONES!B:D,3,FALSE),0)),1 + COUNTIF($A$2:A150,"&gt;0"))</f>
        <v>0</v>
      </c>
      <c r="B151" s="52" t="s">
        <v>339</v>
      </c>
      <c r="C151" s="52" t="s">
        <v>148</v>
      </c>
      <c r="D151" s="53">
        <v>0</v>
      </c>
      <c r="E151" s="53">
        <v>596499.85</v>
      </c>
      <c r="F151" s="53">
        <v>0</v>
      </c>
      <c r="G151" s="53">
        <v>596499.85</v>
      </c>
    </row>
    <row r="152" spans="1:7">
      <c r="A152">
        <f>IFERROR(IF(B152="",0,IF(VALUE(LEFT(B152,1))&gt;3,VLOOKUP(VALUE(B152),PROYECCIONES!B:D,3,FALSE),0)),1 + COUNTIF($A$2:A151,"&gt;0"))</f>
        <v>0</v>
      </c>
      <c r="B152" s="52" t="s">
        <v>340</v>
      </c>
      <c r="C152" s="52" t="s">
        <v>149</v>
      </c>
      <c r="D152" s="53">
        <v>0</v>
      </c>
      <c r="E152" s="53">
        <v>500000</v>
      </c>
      <c r="F152" s="53">
        <v>0</v>
      </c>
      <c r="G152" s="53">
        <v>500000</v>
      </c>
    </row>
    <row r="153" spans="1:7">
      <c r="A153">
        <f>IFERROR(IF(B153="",0,IF(VALUE(LEFT(B153,1))&gt;3,VLOOKUP(VALUE(B153),PROYECCIONES!B:D,3,FALSE),0)),1 + COUNTIF($A$2:A152,"&gt;0"))</f>
        <v>0</v>
      </c>
      <c r="B153" s="52" t="s">
        <v>390</v>
      </c>
      <c r="C153" s="52" t="s">
        <v>201</v>
      </c>
      <c r="D153" s="53">
        <v>0</v>
      </c>
      <c r="E153" s="53">
        <v>2070177.17</v>
      </c>
      <c r="F153" s="53">
        <v>0</v>
      </c>
      <c r="G153" s="53">
        <v>2070177.17</v>
      </c>
    </row>
    <row r="154" spans="1:7">
      <c r="A154">
        <f>IFERROR(IF(B154="",0,IF(VALUE(LEFT(B154,1))&gt;3,VLOOKUP(VALUE(B154),PROYECCIONES!B:D,3,FALSE),0)),1 + COUNTIF($A$2:A153,"&gt;0"))</f>
        <v>0</v>
      </c>
      <c r="B154" s="52" t="s">
        <v>391</v>
      </c>
      <c r="C154" s="52" t="s">
        <v>104</v>
      </c>
      <c r="D154" s="53">
        <v>0</v>
      </c>
      <c r="E154" s="53">
        <v>1743000</v>
      </c>
      <c r="F154" s="53">
        <v>0</v>
      </c>
      <c r="G154" s="53">
        <v>1743000</v>
      </c>
    </row>
    <row r="155" spans="1:7">
      <c r="A155">
        <f>IFERROR(IF(B155="",0,IF(VALUE(LEFT(B155,1))&gt;3,VLOOKUP(VALUE(B155),PROYECCIONES!B:D,3,FALSE),0)),1 + COUNTIF($A$2:A154,"&gt;0"))</f>
        <v>0</v>
      </c>
      <c r="B155" s="52" t="s">
        <v>545</v>
      </c>
      <c r="C155" s="52" t="s">
        <v>105</v>
      </c>
      <c r="D155" s="53">
        <v>0</v>
      </c>
      <c r="E155" s="53">
        <v>127740</v>
      </c>
      <c r="F155" s="53">
        <v>0</v>
      </c>
      <c r="G155" s="53">
        <v>127740</v>
      </c>
    </row>
    <row r="156" spans="1:7">
      <c r="A156">
        <f>IFERROR(IF(B156="",0,IF(VALUE(LEFT(B156,1))&gt;3,VLOOKUP(VALUE(B156),PROYECCIONES!B:D,3,FALSE),0)),1 + COUNTIF($A$2:A155,"&gt;0"))</f>
        <v>0</v>
      </c>
      <c r="B156" s="52" t="s">
        <v>584</v>
      </c>
      <c r="C156" s="52" t="s">
        <v>153</v>
      </c>
      <c r="D156" s="53">
        <v>0</v>
      </c>
      <c r="E156" s="53">
        <v>30000</v>
      </c>
      <c r="F156" s="53">
        <v>0</v>
      </c>
      <c r="G156" s="53">
        <v>30000</v>
      </c>
    </row>
    <row r="157" spans="1:7">
      <c r="A157">
        <f>IFERROR(IF(B157="",0,IF(VALUE(LEFT(B157,1))&gt;3,VLOOKUP(VALUE(B157),PROYECCIONES!B:D,3,FALSE),0)),1 + COUNTIF($A$2:A156,"&gt;0"))</f>
        <v>0</v>
      </c>
      <c r="B157" s="52" t="s">
        <v>414</v>
      </c>
      <c r="C157" s="52" t="s">
        <v>202</v>
      </c>
      <c r="D157" s="53">
        <v>0</v>
      </c>
      <c r="E157" s="53">
        <v>378151</v>
      </c>
      <c r="F157" s="53">
        <v>0</v>
      </c>
      <c r="G157" s="53">
        <v>378151</v>
      </c>
    </row>
    <row r="158" spans="1:7">
      <c r="A158">
        <f>IFERROR(IF(B158="",0,IF(VALUE(LEFT(B158,1))&gt;3,VLOOKUP(VALUE(B158),PROYECCIONES!B:D,3,FALSE),0)),1 + COUNTIF($A$2:A157,"&gt;0"))</f>
        <v>0</v>
      </c>
      <c r="B158" s="52" t="s">
        <v>341</v>
      </c>
      <c r="C158" s="52" t="s">
        <v>154</v>
      </c>
      <c r="D158" s="53">
        <v>0</v>
      </c>
      <c r="E158" s="53">
        <v>838000</v>
      </c>
      <c r="F158" s="53">
        <v>0</v>
      </c>
      <c r="G158" s="53">
        <v>838000</v>
      </c>
    </row>
    <row r="159" spans="1:7">
      <c r="A159">
        <f>IFERROR(IF(B159="",0,IF(VALUE(LEFT(B159,1))&gt;3,VLOOKUP(VALUE(B159),PROYECCIONES!B:D,3,FALSE),0)),1 + COUNTIF($A$2:A158,"&gt;0"))</f>
        <v>0</v>
      </c>
      <c r="B159" s="52" t="s">
        <v>566</v>
      </c>
      <c r="C159" s="52" t="s">
        <v>199</v>
      </c>
      <c r="D159" s="53">
        <v>0</v>
      </c>
      <c r="E159" s="53">
        <v>65798.320000000007</v>
      </c>
      <c r="F159" s="53">
        <v>0</v>
      </c>
      <c r="G159" s="53">
        <v>65798.320000000007</v>
      </c>
    </row>
    <row r="160" spans="1:7">
      <c r="A160">
        <f>IFERROR(IF(B160="",0,IF(VALUE(LEFT(B160,1))&gt;3,VLOOKUP(VALUE(B160),PROYECCIONES!B:D,3,FALSE),0)),1 + COUNTIF($A$2:A159,"&gt;0"))</f>
        <v>0</v>
      </c>
      <c r="B160" s="52" t="s">
        <v>567</v>
      </c>
      <c r="C160" s="52" t="s">
        <v>568</v>
      </c>
      <c r="D160" s="53">
        <v>0</v>
      </c>
      <c r="E160" s="53">
        <v>2249411</v>
      </c>
      <c r="F160" s="53">
        <v>0</v>
      </c>
      <c r="G160" s="53">
        <v>2249411</v>
      </c>
    </row>
    <row r="161" spans="1:7">
      <c r="A161">
        <f>IFERROR(IF(B161="",0,IF(VALUE(LEFT(B161,1))&gt;3,VLOOKUP(VALUE(B161),PROYECCIONES!B:D,3,FALSE),0)),1 + COUNTIF($A$2:A160,"&gt;0"))</f>
        <v>0</v>
      </c>
      <c r="B161" s="52" t="s">
        <v>392</v>
      </c>
      <c r="C161" s="52" t="s">
        <v>155</v>
      </c>
      <c r="D161" s="53">
        <v>0</v>
      </c>
      <c r="E161" s="53">
        <v>840337.31</v>
      </c>
      <c r="F161" s="53">
        <v>0</v>
      </c>
      <c r="G161" s="53">
        <v>840337.31</v>
      </c>
    </row>
    <row r="162" spans="1:7">
      <c r="A162">
        <f>IFERROR(IF(B162="",0,IF(VALUE(LEFT(B162,1))&gt;3,VLOOKUP(VALUE(B162),PROYECCIONES!B:D,3,FALSE),0)),1 + COUNTIF($A$2:A161,"&gt;0"))</f>
        <v>0</v>
      </c>
      <c r="B162" s="52" t="s">
        <v>342</v>
      </c>
      <c r="C162" s="52" t="s">
        <v>156</v>
      </c>
      <c r="D162" s="53">
        <v>0</v>
      </c>
      <c r="E162" s="53">
        <v>8421071.2599999998</v>
      </c>
      <c r="F162" s="53">
        <v>0</v>
      </c>
      <c r="G162" s="53">
        <v>8421071.2599999998</v>
      </c>
    </row>
    <row r="163" spans="1:7">
      <c r="A163">
        <f>IFERROR(IF(B163="",0,IF(VALUE(LEFT(B163,1))&gt;3,VLOOKUP(VALUE(B163),PROYECCIONES!B:D,3,FALSE),0)),1 + COUNTIF($A$2:A162,"&gt;0"))</f>
        <v>0</v>
      </c>
      <c r="B163" s="52" t="s">
        <v>343</v>
      </c>
      <c r="C163" s="52" t="s">
        <v>157</v>
      </c>
      <c r="D163" s="53">
        <v>0</v>
      </c>
      <c r="E163" s="53">
        <v>2105000</v>
      </c>
      <c r="F163" s="53">
        <v>0</v>
      </c>
      <c r="G163" s="53">
        <v>2105000</v>
      </c>
    </row>
    <row r="164" spans="1:7">
      <c r="A164">
        <f>IFERROR(IF(B164="",0,IF(VALUE(LEFT(B164,1))&gt;3,VLOOKUP(VALUE(B164),PROYECCIONES!B:D,3,FALSE),0)),1 + COUNTIF($A$2:A163,"&gt;0"))</f>
        <v>0</v>
      </c>
      <c r="B164" s="52" t="s">
        <v>569</v>
      </c>
      <c r="C164" s="52" t="s">
        <v>158</v>
      </c>
      <c r="D164" s="53">
        <v>0</v>
      </c>
      <c r="E164" s="53">
        <v>375414</v>
      </c>
      <c r="F164" s="53">
        <v>0</v>
      </c>
      <c r="G164" s="53">
        <v>375414</v>
      </c>
    </row>
    <row r="165" spans="1:7">
      <c r="A165">
        <f>IFERROR(IF(B165="",0,IF(VALUE(LEFT(B165,1))&gt;3,VLOOKUP(VALUE(B165),PROYECCIONES!B:D,3,FALSE),0)),1 + COUNTIF($A$2:A164,"&gt;0"))</f>
        <v>0</v>
      </c>
      <c r="B165" s="52" t="s">
        <v>546</v>
      </c>
      <c r="C165" s="52" t="s">
        <v>409</v>
      </c>
      <c r="D165" s="53">
        <v>0</v>
      </c>
      <c r="E165" s="53">
        <v>1411947.63</v>
      </c>
      <c r="F165" s="53">
        <v>0</v>
      </c>
      <c r="G165" s="53">
        <v>1411947.63</v>
      </c>
    </row>
    <row r="166" spans="1:7">
      <c r="A166">
        <f>IFERROR(IF(B166="",0,IF(VALUE(LEFT(B166,1))&gt;3,VLOOKUP(VALUE(B166),PROYECCIONES!B:D,3,FALSE),0)),1 + COUNTIF($A$2:A165,"&gt;0"))</f>
        <v>0</v>
      </c>
      <c r="B166" s="52" t="s">
        <v>91</v>
      </c>
      <c r="C166" s="52" t="s">
        <v>159</v>
      </c>
      <c r="D166" s="53">
        <v>0</v>
      </c>
      <c r="E166" s="53">
        <v>133100</v>
      </c>
      <c r="F166" s="53">
        <v>0</v>
      </c>
      <c r="G166" s="53">
        <v>133100</v>
      </c>
    </row>
    <row r="167" spans="1:7">
      <c r="A167">
        <f>IFERROR(IF(B167="",0,IF(VALUE(LEFT(B167,1))&gt;3,VLOOKUP(VALUE(B167),PROYECCIONES!B:D,3,FALSE),0)),1 + COUNTIF($A$2:A166,"&gt;0"))</f>
        <v>0</v>
      </c>
      <c r="B167" s="52" t="s">
        <v>344</v>
      </c>
      <c r="C167" s="52" t="s">
        <v>160</v>
      </c>
      <c r="D167" s="53">
        <v>-1.8626451492309599E-9</v>
      </c>
      <c r="E167" s="53">
        <v>1269829.68</v>
      </c>
      <c r="F167" s="53">
        <v>0</v>
      </c>
      <c r="G167" s="53">
        <v>1269829.68</v>
      </c>
    </row>
    <row r="168" spans="1:7">
      <c r="A168">
        <f>IFERROR(IF(B168="",0,IF(VALUE(LEFT(B168,1))&gt;3,VLOOKUP(VALUE(B168),PROYECCIONES!B:D,3,FALSE),0)),1 + COUNTIF($A$2:A167,"&gt;0"))</f>
        <v>0</v>
      </c>
      <c r="B168" s="52" t="s">
        <v>570</v>
      </c>
      <c r="C168" s="52" t="s">
        <v>161</v>
      </c>
      <c r="D168" s="53">
        <v>-2.3283064365386999E-10</v>
      </c>
      <c r="E168" s="53">
        <v>273333.34000000003</v>
      </c>
      <c r="F168" s="53">
        <v>0</v>
      </c>
      <c r="G168" s="53">
        <v>273333.34000000003</v>
      </c>
    </row>
    <row r="169" spans="1:7">
      <c r="A169">
        <f>IFERROR(IF(B169="",0,IF(VALUE(LEFT(B169,1))&gt;3,VLOOKUP(VALUE(B169),PROYECCIONES!B:D,3,FALSE),0)),1 + COUNTIF($A$2:A168,"&gt;0"))</f>
        <v>0</v>
      </c>
      <c r="B169" s="52" t="s">
        <v>345</v>
      </c>
      <c r="C169" s="52" t="s">
        <v>162</v>
      </c>
      <c r="D169" s="53">
        <v>1.8626451492309599E-9</v>
      </c>
      <c r="E169" s="53">
        <v>3074500.02</v>
      </c>
      <c r="F169" s="53">
        <v>0</v>
      </c>
      <c r="G169" s="53">
        <v>3074500.02</v>
      </c>
    </row>
    <row r="170" spans="1:7">
      <c r="A170">
        <f>IFERROR(IF(B170="",0,IF(VALUE(LEFT(B170,1))&gt;3,VLOOKUP(VALUE(B170),PROYECCIONES!B:D,3,FALSE),0)),1 + COUNTIF($A$2:A169,"&gt;0"))</f>
        <v>0</v>
      </c>
      <c r="B170" s="52" t="s">
        <v>368</v>
      </c>
      <c r="C170" s="52" t="s">
        <v>163</v>
      </c>
      <c r="D170" s="53">
        <v>0</v>
      </c>
      <c r="E170" s="53">
        <v>724900</v>
      </c>
      <c r="F170" s="53">
        <v>0</v>
      </c>
      <c r="G170" s="53">
        <v>724900</v>
      </c>
    </row>
    <row r="171" spans="1:7">
      <c r="A171">
        <f>IFERROR(IF(B171="",0,IF(VALUE(LEFT(B171,1))&gt;3,VLOOKUP(VALUE(B171),PROYECCIONES!B:D,3,FALSE),0)),1 + COUNTIF($A$2:A170,"&gt;0"))</f>
        <v>0</v>
      </c>
      <c r="B171" s="52" t="s">
        <v>393</v>
      </c>
      <c r="C171" s="52" t="s">
        <v>164</v>
      </c>
      <c r="D171" s="53">
        <v>0</v>
      </c>
      <c r="E171" s="53">
        <v>10800000</v>
      </c>
      <c r="F171" s="53">
        <v>0</v>
      </c>
      <c r="G171" s="53">
        <v>10800000</v>
      </c>
    </row>
    <row r="172" spans="1:7">
      <c r="A172">
        <f>IFERROR(IF(B172="",0,IF(VALUE(LEFT(B172,1))&gt;3,VLOOKUP(VALUE(B172),PROYECCIONES!B:D,3,FALSE),0)),1 + COUNTIF($A$2:A171,"&gt;0"))</f>
        <v>0</v>
      </c>
      <c r="B172" s="52" t="s">
        <v>369</v>
      </c>
      <c r="C172" s="52" t="s">
        <v>165</v>
      </c>
      <c r="D172" s="53">
        <v>-2.3283064365386999E-10</v>
      </c>
      <c r="E172" s="53">
        <v>382109</v>
      </c>
      <c r="F172" s="53">
        <v>0</v>
      </c>
      <c r="G172" s="53">
        <v>382109</v>
      </c>
    </row>
    <row r="173" spans="1:7">
      <c r="A173">
        <f>IFERROR(IF(B173="",0,IF(VALUE(LEFT(B173,1))&gt;3,VLOOKUP(VALUE(B173),PROYECCIONES!B:D,3,FALSE),0)),1 + COUNTIF($A$2:A172,"&gt;0"))</f>
        <v>0</v>
      </c>
      <c r="B173" s="52" t="s">
        <v>346</v>
      </c>
      <c r="C173" s="52" t="s">
        <v>166</v>
      </c>
      <c r="D173" s="53">
        <v>2.3283064365386999E-10</v>
      </c>
      <c r="E173" s="53">
        <v>222030</v>
      </c>
      <c r="F173" s="53">
        <v>0</v>
      </c>
      <c r="G173" s="53">
        <v>222030</v>
      </c>
    </row>
    <row r="174" spans="1:7">
      <c r="A174">
        <f>IFERROR(IF(B174="",0,IF(VALUE(LEFT(B174,1))&gt;3,VLOOKUP(VALUE(B174),PROYECCIONES!B:D,3,FALSE),0)),1 + COUNTIF($A$2:A173,"&gt;0"))</f>
        <v>0</v>
      </c>
      <c r="B174" s="52" t="s">
        <v>347</v>
      </c>
      <c r="C174" s="52" t="s">
        <v>167</v>
      </c>
      <c r="D174" s="53">
        <v>1.8626451492309599E-9</v>
      </c>
      <c r="E174" s="53">
        <v>99078</v>
      </c>
      <c r="F174" s="53">
        <v>0</v>
      </c>
      <c r="G174" s="53">
        <v>99078.000000001906</v>
      </c>
    </row>
    <row r="175" spans="1:7">
      <c r="A175">
        <f>IFERROR(IF(B175="",0,IF(VALUE(LEFT(B175,1))&gt;3,VLOOKUP(VALUE(B175),PROYECCIONES!B:D,3,FALSE),0)),1 + COUNTIF($A$2:A174,"&gt;0"))</f>
        <v>0</v>
      </c>
      <c r="B175" s="52" t="s">
        <v>394</v>
      </c>
      <c r="C175" s="52" t="s">
        <v>168</v>
      </c>
      <c r="D175" s="53">
        <v>0</v>
      </c>
      <c r="E175" s="53">
        <v>200000</v>
      </c>
      <c r="F175" s="53">
        <v>0</v>
      </c>
      <c r="G175" s="53">
        <v>200000</v>
      </c>
    </row>
    <row r="176" spans="1:7">
      <c r="A176">
        <f>IFERROR(IF(B176="",0,IF(VALUE(LEFT(B176,1))&gt;3,VLOOKUP(VALUE(B176),PROYECCIONES!B:D,3,FALSE),0)),1 + COUNTIF($A$2:A175,"&gt;0"))</f>
        <v>0</v>
      </c>
      <c r="B176" s="52" t="s">
        <v>442</v>
      </c>
      <c r="C176" s="52" t="s">
        <v>443</v>
      </c>
      <c r="D176" s="53">
        <v>0</v>
      </c>
      <c r="E176" s="53">
        <v>5000</v>
      </c>
      <c r="F176" s="53">
        <v>0</v>
      </c>
      <c r="G176" s="53">
        <v>5000</v>
      </c>
    </row>
    <row r="177" spans="1:7">
      <c r="A177">
        <f>IFERROR(IF(B177="",0,IF(VALUE(LEFT(B177,1))&gt;3,VLOOKUP(VALUE(B177),PROYECCIONES!B:D,3,FALSE),0)),1 + COUNTIF($A$2:A176,"&gt;0"))</f>
        <v>0</v>
      </c>
      <c r="B177" s="52" t="s">
        <v>348</v>
      </c>
      <c r="C177" s="52" t="s">
        <v>106</v>
      </c>
      <c r="D177" s="53">
        <v>0</v>
      </c>
      <c r="E177" s="53">
        <v>2253234.91</v>
      </c>
      <c r="F177" s="53">
        <v>0</v>
      </c>
      <c r="G177" s="53">
        <v>2253234.91</v>
      </c>
    </row>
    <row r="178" spans="1:7">
      <c r="A178">
        <f>IFERROR(IF(B178="",0,IF(VALUE(LEFT(B178,1))&gt;3,VLOOKUP(VALUE(B178),PROYECCIONES!B:D,3,FALSE),0)),1 + COUNTIF($A$2:A177,"&gt;0"))</f>
        <v>0</v>
      </c>
      <c r="B178" s="52" t="s">
        <v>370</v>
      </c>
      <c r="C178" s="52" t="s">
        <v>169</v>
      </c>
      <c r="D178" s="53">
        <v>0</v>
      </c>
      <c r="E178" s="53">
        <v>9928.5400000000009</v>
      </c>
      <c r="F178" s="53">
        <v>0</v>
      </c>
      <c r="G178" s="53">
        <v>9928.5400000000009</v>
      </c>
    </row>
    <row r="179" spans="1:7">
      <c r="A179">
        <f>IFERROR(IF(B179="",0,IF(VALUE(LEFT(B179,1))&gt;3,VLOOKUP(VALUE(B179),PROYECCIONES!B:D,3,FALSE),0)),1 + COUNTIF($A$2:A178,"&gt;0"))</f>
        <v>0</v>
      </c>
      <c r="B179" s="52" t="s">
        <v>371</v>
      </c>
      <c r="C179" s="52" t="s">
        <v>197</v>
      </c>
      <c r="D179" s="53">
        <v>0</v>
      </c>
      <c r="E179" s="53">
        <v>70000</v>
      </c>
      <c r="F179" s="53">
        <v>0</v>
      </c>
      <c r="G179" s="53">
        <v>70000</v>
      </c>
    </row>
    <row r="180" spans="1:7">
      <c r="A180">
        <f>IFERROR(IF(B180="",0,IF(VALUE(LEFT(B180,1))&gt;3,VLOOKUP(VALUE(B180),PROYECCIONES!B:D,3,FALSE),0)),1 + COUNTIF($A$2:A179,"&gt;0"))</f>
        <v>0</v>
      </c>
      <c r="B180" s="52" t="s">
        <v>349</v>
      </c>
      <c r="C180" s="52" t="s">
        <v>170</v>
      </c>
      <c r="D180" s="53">
        <v>-2.2351741790771501E-8</v>
      </c>
      <c r="E180" s="53">
        <v>10502363.98</v>
      </c>
      <c r="F180" s="53">
        <v>0</v>
      </c>
      <c r="G180" s="53">
        <v>10502363.98</v>
      </c>
    </row>
    <row r="181" spans="1:7">
      <c r="A181">
        <f>IFERROR(IF(B181="",0,IF(VALUE(LEFT(B181,1))&gt;3,VLOOKUP(VALUE(B181),PROYECCIONES!B:D,3,FALSE),0)),1 + COUNTIF($A$2:A180,"&gt;0"))</f>
        <v>0</v>
      </c>
      <c r="B181" s="52" t="s">
        <v>547</v>
      </c>
      <c r="C181" s="52" t="s">
        <v>190</v>
      </c>
      <c r="D181" s="53">
        <v>-4.65661287307739E-10</v>
      </c>
      <c r="E181" s="53">
        <v>50756.3</v>
      </c>
      <c r="F181" s="53">
        <v>0</v>
      </c>
      <c r="G181" s="53">
        <v>50756.299999999603</v>
      </c>
    </row>
    <row r="182" spans="1:7">
      <c r="A182">
        <f>IFERROR(IF(B182="",0,IF(VALUE(LEFT(B182,1))&gt;3,VLOOKUP(VALUE(B182),PROYECCIONES!B:D,3,FALSE),0)),1 + COUNTIF($A$2:A181,"&gt;0"))</f>
        <v>0</v>
      </c>
      <c r="B182" s="52" t="s">
        <v>533</v>
      </c>
      <c r="C182" s="52" t="s">
        <v>534</v>
      </c>
      <c r="D182" s="53">
        <v>0</v>
      </c>
      <c r="E182" s="53">
        <v>3750285.77</v>
      </c>
      <c r="F182" s="53">
        <v>0</v>
      </c>
      <c r="G182" s="53">
        <v>3750285.77</v>
      </c>
    </row>
    <row r="183" spans="1:7">
      <c r="A183">
        <f>IFERROR(IF(B183="",0,IF(VALUE(LEFT(B183,1))&gt;3,VLOOKUP(VALUE(B183),PROYECCIONES!B:D,3,FALSE),0)),1 + COUNTIF($A$2:A182,"&gt;0"))</f>
        <v>0</v>
      </c>
      <c r="B183" s="52" t="s">
        <v>571</v>
      </c>
      <c r="C183" s="52" t="s">
        <v>124</v>
      </c>
      <c r="D183" s="53">
        <v>0</v>
      </c>
      <c r="E183" s="53">
        <v>300000</v>
      </c>
      <c r="F183" s="53">
        <v>0</v>
      </c>
      <c r="G183" s="53">
        <v>300000</v>
      </c>
    </row>
    <row r="184" spans="1:7">
      <c r="A184">
        <f>IFERROR(IF(B184="",0,IF(VALUE(LEFT(B184,1))&gt;3,VLOOKUP(VALUE(B184),PROYECCIONES!B:D,3,FALSE),0)),1 + COUNTIF($A$2:A183,"&gt;0"))</f>
        <v>0</v>
      </c>
      <c r="B184" s="52" t="s">
        <v>466</v>
      </c>
      <c r="C184" s="52" t="s">
        <v>467</v>
      </c>
      <c r="D184" s="53">
        <v>0</v>
      </c>
      <c r="E184" s="53">
        <v>18000</v>
      </c>
      <c r="F184" s="53">
        <v>0</v>
      </c>
      <c r="G184" s="53">
        <v>18000</v>
      </c>
    </row>
    <row r="185" spans="1:7">
      <c r="A185">
        <f>IFERROR(IF(B185="",0,IF(VALUE(LEFT(B185,1))&gt;3,VLOOKUP(VALUE(B185),PROYECCIONES!B:D,3,FALSE),0)),1 + COUNTIF($A$2:A184,"&gt;0"))</f>
        <v>0</v>
      </c>
      <c r="B185" s="52" t="s">
        <v>350</v>
      </c>
      <c r="C185" s="52" t="s">
        <v>174</v>
      </c>
      <c r="D185" s="53">
        <v>0</v>
      </c>
      <c r="E185" s="53">
        <v>8592925.5399999991</v>
      </c>
      <c r="F185" s="53">
        <v>0</v>
      </c>
      <c r="G185" s="53">
        <v>8592925.5399999991</v>
      </c>
    </row>
    <row r="186" spans="1:7">
      <c r="A186">
        <f>IFERROR(IF(B186="",0,IF(VALUE(LEFT(B186,1))&gt;3,VLOOKUP(VALUE(B186),PROYECCIONES!B:D,3,FALSE),0)),1 + COUNTIF($A$2:A185,"&gt;0"))</f>
        <v>0</v>
      </c>
      <c r="B186" s="52" t="s">
        <v>422</v>
      </c>
      <c r="C186" s="52" t="s">
        <v>423</v>
      </c>
      <c r="D186" s="53">
        <v>0</v>
      </c>
      <c r="E186" s="53">
        <v>4298171.9800000004</v>
      </c>
      <c r="F186" s="53">
        <v>0</v>
      </c>
      <c r="G186" s="53">
        <v>4298171.9800000004</v>
      </c>
    </row>
    <row r="187" spans="1:7">
      <c r="A187">
        <f>IFERROR(IF(B187="",0,IF(VALUE(LEFT(B187,1))&gt;3,VLOOKUP(VALUE(B187),PROYECCIONES!B:D,3,FALSE),0)),1 + COUNTIF($A$2:A186,"&gt;0"))</f>
        <v>0</v>
      </c>
      <c r="B187" s="52" t="s">
        <v>351</v>
      </c>
      <c r="C187" s="52" t="s">
        <v>178</v>
      </c>
      <c r="D187" s="53">
        <v>0</v>
      </c>
      <c r="E187" s="53">
        <v>645757.61</v>
      </c>
      <c r="F187" s="53">
        <v>0</v>
      </c>
      <c r="G187" s="53">
        <v>645757.61</v>
      </c>
    </row>
    <row r="188" spans="1:7">
      <c r="A188">
        <f>IFERROR(IF(B188="",0,IF(VALUE(LEFT(B188,1))&gt;3,VLOOKUP(VALUE(B188),PROYECCIONES!B:D,3,FALSE),0)),1 + COUNTIF($A$2:A187,"&gt;0"))</f>
        <v>0</v>
      </c>
      <c r="B188" s="52" t="s">
        <v>352</v>
      </c>
      <c r="C188" s="52" t="s">
        <v>179</v>
      </c>
      <c r="D188" s="53">
        <v>0</v>
      </c>
      <c r="E188" s="53">
        <v>529261</v>
      </c>
      <c r="F188" s="53">
        <v>0</v>
      </c>
      <c r="G188" s="53">
        <v>529261</v>
      </c>
    </row>
    <row r="189" spans="1:7">
      <c r="A189">
        <f>IFERROR(IF(B189="",0,IF(VALUE(LEFT(B189,1))&gt;3,VLOOKUP(VALUE(B189),PROYECCIONES!B:D,3,FALSE),0)),1 + COUNTIF($A$2:A188,"&gt;0"))</f>
        <v>0</v>
      </c>
      <c r="B189" s="52" t="s">
        <v>397</v>
      </c>
      <c r="C189" s="52" t="s">
        <v>180</v>
      </c>
      <c r="D189" s="53">
        <v>0</v>
      </c>
      <c r="E189" s="53">
        <v>3574956.56</v>
      </c>
      <c r="F189" s="53">
        <v>0</v>
      </c>
      <c r="G189" s="53">
        <v>3574956.56</v>
      </c>
    </row>
    <row r="190" spans="1:7">
      <c r="A190">
        <f>IFERROR(IF(B190="",0,IF(VALUE(LEFT(B190,1))&gt;3,VLOOKUP(VALUE(B190),PROYECCIONES!B:D,3,FALSE),0)),1 + COUNTIF($A$2:A189,"&gt;0"))</f>
        <v>0</v>
      </c>
      <c r="B190" s="52" t="s">
        <v>353</v>
      </c>
      <c r="C190" s="52" t="s">
        <v>181</v>
      </c>
      <c r="D190" s="53">
        <v>0</v>
      </c>
      <c r="E190" s="53">
        <v>2972567.91</v>
      </c>
      <c r="F190" s="53">
        <v>0</v>
      </c>
      <c r="G190" s="53">
        <v>2972567.91</v>
      </c>
    </row>
    <row r="191" spans="1:7">
      <c r="A191">
        <f>IFERROR(IF(B191="",0,IF(VALUE(LEFT(B191,1))&gt;3,VLOOKUP(VALUE(B191),PROYECCIONES!B:D,3,FALSE),0)),1 + COUNTIF($A$2:A190,"&gt;0"))</f>
        <v>0</v>
      </c>
      <c r="B191" s="52" t="s">
        <v>535</v>
      </c>
      <c r="C191" s="52" t="s">
        <v>183</v>
      </c>
      <c r="D191" s="53">
        <v>0</v>
      </c>
      <c r="E191" s="53">
        <v>389758.58</v>
      </c>
      <c r="F191" s="53">
        <v>0</v>
      </c>
      <c r="G191" s="53">
        <v>389758.58</v>
      </c>
    </row>
    <row r="192" spans="1:7">
      <c r="A192">
        <f>IFERROR(IF(B192="",0,IF(VALUE(LEFT(B192,1))&gt;3,VLOOKUP(VALUE(B192),PROYECCIONES!B:D,3,FALSE),0)),1 + COUNTIF($A$2:A191,"&gt;0"))</f>
        <v>0</v>
      </c>
      <c r="B192" s="52" t="s">
        <v>354</v>
      </c>
      <c r="C192" s="52" t="s">
        <v>107</v>
      </c>
      <c r="D192" s="53">
        <v>0</v>
      </c>
      <c r="E192" s="53">
        <v>31068.59</v>
      </c>
      <c r="F192" s="53">
        <v>0</v>
      </c>
      <c r="G192" s="53">
        <v>31068.590000000098</v>
      </c>
    </row>
    <row r="193" spans="1:7">
      <c r="A193">
        <f>IFERROR(IF(B193="",0,IF(VALUE(LEFT(B193,1))&gt;3,VLOOKUP(VALUE(B193),PROYECCIONES!B:D,3,FALSE),0)),1 + COUNTIF($A$2:A192,"&gt;0"))</f>
        <v>0</v>
      </c>
      <c r="B193" s="52" t="s">
        <v>572</v>
      </c>
      <c r="C193" s="52" t="s">
        <v>573</v>
      </c>
      <c r="D193" s="53">
        <v>0</v>
      </c>
      <c r="E193" s="53">
        <v>64670</v>
      </c>
      <c r="F193" s="53">
        <v>0</v>
      </c>
      <c r="G193" s="53">
        <v>64670</v>
      </c>
    </row>
    <row r="194" spans="1:7">
      <c r="A194">
        <f>IFERROR(IF(B194="",0,IF(VALUE(LEFT(B194,1))&gt;3,VLOOKUP(VALUE(B194),PROYECCIONES!B:D,3,FALSE),0)),1 + COUNTIF($A$2:A193,"&gt;0"))</f>
        <v>0</v>
      </c>
      <c r="B194" s="52" t="s">
        <v>574</v>
      </c>
      <c r="C194" s="52" t="s">
        <v>575</v>
      </c>
      <c r="D194" s="53">
        <v>0</v>
      </c>
      <c r="E194" s="53">
        <v>19761.28</v>
      </c>
      <c r="F194" s="53">
        <v>0</v>
      </c>
      <c r="G194" s="53">
        <v>19761.28</v>
      </c>
    </row>
    <row r="195" spans="1:7">
      <c r="A195">
        <f>IFERROR(IF(B195="",0,IF(VALUE(LEFT(B195,1))&gt;3,VLOOKUP(VALUE(B195),PROYECCIONES!B:D,3,FALSE),0)),1 + COUNTIF($A$2:A194,"&gt;0"))</f>
        <v>0</v>
      </c>
      <c r="B195" s="52" t="s">
        <v>372</v>
      </c>
      <c r="C195" s="52" t="s">
        <v>184</v>
      </c>
      <c r="D195" s="53">
        <v>0</v>
      </c>
      <c r="E195" s="53">
        <v>182000</v>
      </c>
      <c r="F195" s="53">
        <v>0</v>
      </c>
      <c r="G195" s="53">
        <v>182000</v>
      </c>
    </row>
    <row r="196" spans="1:7">
      <c r="A196">
        <f>IFERROR(IF(B196="",0,IF(VALUE(LEFT(B196,1))&gt;3,VLOOKUP(VALUE(B196),PROYECCIONES!B:D,3,FALSE),0)),1 + COUNTIF($A$2:A195,"&gt;0"))</f>
        <v>0</v>
      </c>
      <c r="B196" s="52" t="s">
        <v>355</v>
      </c>
      <c r="C196" s="52" t="s">
        <v>185</v>
      </c>
      <c r="D196" s="53">
        <v>0</v>
      </c>
      <c r="E196" s="53">
        <v>900000</v>
      </c>
      <c r="F196" s="53">
        <v>0</v>
      </c>
      <c r="G196" s="53">
        <v>900000</v>
      </c>
    </row>
    <row r="197" spans="1:7">
      <c r="A197">
        <f>IFERROR(IF(B197="",0,IF(VALUE(LEFT(B197,1))&gt;3,VLOOKUP(VALUE(B197),PROYECCIONES!B:D,3,FALSE),0)),1 + COUNTIF($A$2:A196,"&gt;0"))</f>
        <v>0</v>
      </c>
      <c r="B197" s="52" t="s">
        <v>356</v>
      </c>
      <c r="C197" s="52" t="s">
        <v>99</v>
      </c>
      <c r="D197" s="53">
        <v>-3.4924596548080398E-10</v>
      </c>
      <c r="E197" s="53">
        <v>4726.6099999999997</v>
      </c>
      <c r="F197" s="53">
        <v>380.43</v>
      </c>
      <c r="G197" s="53">
        <v>4346.1799999996401</v>
      </c>
    </row>
    <row r="198" spans="1:7">
      <c r="A198">
        <f>IFERROR(IF(B198="",0,IF(VALUE(LEFT(B198,1))&gt;3,VLOOKUP(VALUE(B198),PROYECCIONES!B:D,3,FALSE),0)),1 + COUNTIF($A$2:A197,"&gt;0"))</f>
        <v>0</v>
      </c>
      <c r="B198" s="52" t="s">
        <v>415</v>
      </c>
      <c r="C198" s="52" t="s">
        <v>100</v>
      </c>
      <c r="D198" s="53">
        <v>0</v>
      </c>
      <c r="E198" s="53">
        <v>52328334</v>
      </c>
      <c r="F198" s="53">
        <v>0</v>
      </c>
      <c r="G198" s="53">
        <v>52328334</v>
      </c>
    </row>
    <row r="199" spans="1:7">
      <c r="A199">
        <f>IFERROR(IF(B199="",0,IF(VALUE(LEFT(B199,1))&gt;3,VLOOKUP(VALUE(B199),PROYECCIONES!B:D,3,FALSE),0)),1 + COUNTIF($A$2:A198,"&gt;0"))</f>
        <v>0</v>
      </c>
      <c r="B199" s="52" t="s">
        <v>416</v>
      </c>
      <c r="C199" s="52" t="s">
        <v>101</v>
      </c>
      <c r="D199" s="53">
        <v>0</v>
      </c>
      <c r="E199" s="53">
        <v>2002425</v>
      </c>
      <c r="F199" s="53">
        <v>0</v>
      </c>
      <c r="G199" s="53">
        <v>2002425</v>
      </c>
    </row>
    <row r="200" spans="1:7">
      <c r="A200">
        <f>IFERROR(IF(B200="",0,IF(VALUE(LEFT(B200,1))&gt;3,VLOOKUP(VALUE(B200),PROYECCIONES!B:D,3,FALSE),0)),1 + COUNTIF($A$2:A199,"&gt;0"))</f>
        <v>0</v>
      </c>
      <c r="B200" s="52" t="s">
        <v>398</v>
      </c>
      <c r="C200" s="52" t="s">
        <v>96</v>
      </c>
      <c r="D200" s="53">
        <v>0</v>
      </c>
      <c r="E200" s="53">
        <v>4715760</v>
      </c>
      <c r="F200" s="53">
        <v>0</v>
      </c>
      <c r="G200" s="53">
        <v>4715760</v>
      </c>
    </row>
    <row r="201" spans="1:7">
      <c r="A201">
        <f>IFERROR(IF(B201="",0,IF(VALUE(LEFT(B201,1))&gt;3,VLOOKUP(VALUE(B201),PROYECCIONES!B:D,3,FALSE),0)),1 + COUNTIF($A$2:A200,"&gt;0"))</f>
        <v>0</v>
      </c>
      <c r="B201" s="52" t="s">
        <v>399</v>
      </c>
      <c r="C201" s="52" t="s">
        <v>97</v>
      </c>
      <c r="D201" s="53">
        <v>0</v>
      </c>
      <c r="E201" s="53">
        <v>3917300</v>
      </c>
      <c r="F201" s="53">
        <v>0</v>
      </c>
      <c r="G201" s="53">
        <v>3917300</v>
      </c>
    </row>
    <row r="202" spans="1:7">
      <c r="A202">
        <f>IFERROR(IF(B202="",0,IF(VALUE(LEFT(B202,1))&gt;3,VLOOKUP(VALUE(B202),PROYECCIONES!B:D,3,FALSE),0)),1 + COUNTIF($A$2:A201,"&gt;0"))</f>
        <v>0</v>
      </c>
      <c r="B202" s="52" t="s">
        <v>400</v>
      </c>
      <c r="C202" s="52" t="s">
        <v>98</v>
      </c>
      <c r="D202" s="53">
        <v>0</v>
      </c>
      <c r="E202" s="53">
        <v>2270004</v>
      </c>
      <c r="F202" s="53">
        <v>0</v>
      </c>
      <c r="G202" s="53">
        <v>2270004</v>
      </c>
    </row>
    <row r="203" spans="1:7">
      <c r="A203">
        <f>IFERROR(IF(B203="",0,IF(VALUE(LEFT(B203,1))&gt;3,VLOOKUP(VALUE(B203),PROYECCIONES!B:D,3,FALSE),0)),1 + COUNTIF($A$2:A202,"&gt;0"))</f>
        <v>0</v>
      </c>
      <c r="B203" s="52" t="s">
        <v>401</v>
      </c>
      <c r="C203" s="52" t="s">
        <v>204</v>
      </c>
      <c r="D203" s="53">
        <v>0</v>
      </c>
      <c r="E203" s="53">
        <v>283996</v>
      </c>
      <c r="F203" s="53">
        <v>0</v>
      </c>
      <c r="G203" s="53">
        <v>283996</v>
      </c>
    </row>
    <row r="204" spans="1:7">
      <c r="A204">
        <f>IFERROR(IF(B204="",0,IF(VALUE(LEFT(B204,1))&gt;3,VLOOKUP(VALUE(B204),PROYECCIONES!B:D,3,FALSE),0)),1 + COUNTIF($A$2:A203,"&gt;0"))</f>
        <v>0</v>
      </c>
      <c r="B204" s="52" t="s">
        <v>402</v>
      </c>
      <c r="C204" s="52" t="s">
        <v>205</v>
      </c>
      <c r="D204" s="53">
        <v>0</v>
      </c>
      <c r="E204" s="53">
        <v>6528600</v>
      </c>
      <c r="F204" s="53">
        <v>0</v>
      </c>
      <c r="G204" s="53">
        <v>6528600</v>
      </c>
    </row>
    <row r="205" spans="1:7">
      <c r="A205">
        <f>IFERROR(IF(B205="",0,IF(VALUE(LEFT(B205,1))&gt;3,VLOOKUP(VALUE(B205),PROYECCIONES!B:D,3,FALSE),0)),1 + COUNTIF($A$2:A204,"&gt;0"))</f>
        <v>0</v>
      </c>
      <c r="B205" s="52" t="s">
        <v>403</v>
      </c>
      <c r="C205" s="52" t="s">
        <v>206</v>
      </c>
      <c r="D205" s="53">
        <v>0</v>
      </c>
      <c r="E205" s="53">
        <v>2176200</v>
      </c>
      <c r="F205" s="53">
        <v>0</v>
      </c>
      <c r="G205" s="53">
        <v>2176200</v>
      </c>
    </row>
    <row r="206" spans="1:7">
      <c r="A206">
        <f>IFERROR(IF(B206="",0,IF(VALUE(LEFT(B206,1))&gt;3,VLOOKUP(VALUE(B206),PROYECCIONES!B:D,3,FALSE),0)),1 + COUNTIF($A$2:A205,"&gt;0"))</f>
        <v>0</v>
      </c>
      <c r="B206" s="52" t="s">
        <v>417</v>
      </c>
      <c r="C206" s="52" t="s">
        <v>164</v>
      </c>
      <c r="D206" s="53">
        <v>0</v>
      </c>
      <c r="E206" s="53">
        <v>14400000</v>
      </c>
      <c r="F206" s="53">
        <v>0</v>
      </c>
      <c r="G206" s="53">
        <v>14400000</v>
      </c>
    </row>
    <row r="207" spans="1:7">
      <c r="A207">
        <f>IFERROR(IF(B207="",0,IF(VALUE(LEFT(B207,1))&gt;3,VLOOKUP(VALUE(B207),PROYECCIONES!B:D,3,FALSE),0)),1 + COUNTIF($A$2:A206,"&gt;0"))</f>
        <v>0</v>
      </c>
      <c r="B207" s="52" t="s">
        <v>404</v>
      </c>
      <c r="C207" s="52" t="s">
        <v>102</v>
      </c>
      <c r="D207" s="53">
        <v>0</v>
      </c>
      <c r="E207" s="53">
        <v>565896</v>
      </c>
      <c r="F207" s="53">
        <v>0</v>
      </c>
      <c r="G207" s="53">
        <v>565896</v>
      </c>
    </row>
    <row r="208" spans="1:7">
      <c r="A208">
        <f>IFERROR(IF(B208="",0,IF(VALUE(LEFT(B208,1))&gt;3,VLOOKUP(VALUE(B208),PROYECCIONES!B:D,3,FALSE),0)),1 + COUNTIF($A$2:A207,"&gt;0"))</f>
        <v>0</v>
      </c>
      <c r="B208" s="52" t="s">
        <v>357</v>
      </c>
      <c r="C208" s="52" t="s">
        <v>357</v>
      </c>
      <c r="D208" s="53">
        <v>0</v>
      </c>
      <c r="E208" s="53" t="s">
        <v>614</v>
      </c>
      <c r="F208" s="53" t="s">
        <v>614</v>
      </c>
      <c r="G208" s="53">
        <v>0</v>
      </c>
    </row>
    <row r="209" spans="1:7">
      <c r="A209">
        <f>IFERROR(IF(B209="",0,IF(VALUE(LEFT(B209,1))&gt;3,VLOOKUP(VALUE(B209),PROYECCIONES!B:D,3,FALSE),0)),1 + COUNTIF($A$2:A208,"&gt;0"))</f>
        <v>0</v>
      </c>
      <c r="C209" s="30"/>
      <c r="D209" s="120"/>
      <c r="E209" s="120"/>
      <c r="F209" s="120"/>
      <c r="G209" s="120"/>
    </row>
    <row r="210" spans="1:7">
      <c r="A210">
        <f>IFERROR(IF(B210="",0,IF(VALUE(LEFT(B210,1))&gt;3,VLOOKUP(VALUE(B210),PROYECCIONES!B:D,3,FALSE),0)),1 + COUNTIF($A$2:A209,"&gt;0"))</f>
        <v>0</v>
      </c>
      <c r="C210" s="30"/>
      <c r="D210" s="120"/>
      <c r="E210" s="120"/>
      <c r="F210" s="120"/>
      <c r="G210" s="120"/>
    </row>
    <row r="211" spans="1:7">
      <c r="A211">
        <f>IFERROR(IF(B211="",0,IF(VALUE(LEFT(B211,1))&gt;3,VLOOKUP(VALUE(B211),PROYECCIONES!B:D,3,FALSE),0)),1 + COUNTIF($A$2:A210,"&gt;0"))</f>
        <v>0</v>
      </c>
      <c r="C211" s="30"/>
      <c r="D211" s="120"/>
      <c r="E211" s="120"/>
      <c r="F211" s="120"/>
      <c r="G211" s="120"/>
    </row>
    <row r="212" spans="1:7">
      <c r="A212">
        <f>IFERROR(IF(B212="",0,IF(VALUE(LEFT(B212,1))&gt;3,VLOOKUP(VALUE(B212),PROYECCIONES!B:D,3,FALSE),0)),1 + COUNTIF($A$2:A211,"&gt;0"))</f>
        <v>0</v>
      </c>
      <c r="C212" s="30"/>
      <c r="D212" s="120"/>
      <c r="E212" s="120"/>
      <c r="F212" s="120"/>
      <c r="G212" s="120"/>
    </row>
    <row r="213" spans="1:7">
      <c r="A213">
        <f>IFERROR(IF(B213="",0,IF(VALUE(LEFT(B213,1))&gt;3,VLOOKUP(VALUE(B213),PROYECCIONES!B:D,3,FALSE),0)),1 + COUNTIF($A$2:A212,"&gt;0"))</f>
        <v>0</v>
      </c>
      <c r="C213" s="30"/>
      <c r="D213" s="120"/>
      <c r="E213" s="120"/>
      <c r="F213" s="120"/>
      <c r="G213" s="120"/>
    </row>
    <row r="214" spans="1:7">
      <c r="A214">
        <f>IFERROR(IF(B214="",0,IF(VALUE(LEFT(B214,1))&gt;3,VLOOKUP(VALUE(B214),PROYECCIONES!B:D,3,FALSE),0)),1 + COUNTIF($A$2:A213,"&gt;0"))</f>
        <v>0</v>
      </c>
      <c r="C214" s="30"/>
      <c r="D214" s="120"/>
      <c r="E214" s="120"/>
      <c r="F214" s="120"/>
      <c r="G214" s="120"/>
    </row>
    <row r="215" spans="1:7">
      <c r="A215">
        <f>IFERROR(IF(B215="",0,IF(VALUE(LEFT(B215,1))&gt;3,VLOOKUP(VALUE(B215),PROYECCIONES!B:D,3,FALSE),0)),1 + COUNTIF($A$2:A214,"&gt;0"))</f>
        <v>0</v>
      </c>
      <c r="C215" s="30"/>
      <c r="D215" s="120"/>
      <c r="E215" s="120"/>
      <c r="F215" s="120"/>
      <c r="G215" s="120"/>
    </row>
    <row r="216" spans="1:7">
      <c r="A216">
        <f>IFERROR(IF(B216="",0,IF(VALUE(LEFT(B216,1))&gt;3,VLOOKUP(VALUE(B216),PROYECCIONES!B:D,3,FALSE),0)),1 + COUNTIF($A$2:A215,"&gt;0"))</f>
        <v>0</v>
      </c>
      <c r="C216" s="30"/>
      <c r="D216" s="120"/>
      <c r="E216" s="120"/>
      <c r="F216" s="120"/>
      <c r="G216" s="122"/>
    </row>
    <row r="217" spans="1:7">
      <c r="A217">
        <f>IFERROR(IF(B217="",0,IF(VALUE(LEFT(B217,1))&gt;3,VLOOKUP(VALUE(B217),PROYECCIONES!B:D,3,FALSE),0)),1 + COUNTIF($A$2:A216,"&gt;0"))</f>
        <v>0</v>
      </c>
      <c r="C217" s="30"/>
      <c r="D217" s="120"/>
      <c r="E217" s="120"/>
      <c r="F217" s="120"/>
      <c r="G217" s="121"/>
    </row>
    <row r="218" spans="1:7">
      <c r="A218">
        <f>IFERROR(IF(B218="",0,IF(VALUE(LEFT(B218,1))&gt;3,VLOOKUP(VALUE(B218),PROYECCIONES!B:D,3,FALSE),0)),1 + COUNTIF($A$2:A217,"&gt;0"))</f>
        <v>0</v>
      </c>
      <c r="C218" s="30"/>
      <c r="D218" s="120"/>
      <c r="E218" s="120"/>
      <c r="F218" s="120"/>
      <c r="G218" s="120"/>
    </row>
    <row r="219" spans="1:7">
      <c r="A219">
        <f>IFERROR(IF(B219="",0,IF(VALUE(LEFT(B219,1))&gt;3,VLOOKUP(VALUE(B219),PROYECCIONES!B:D,3,FALSE),0)),1 + COUNTIF($A$2:A218,"&gt;0"))</f>
        <v>0</v>
      </c>
      <c r="C219" s="30"/>
      <c r="D219" s="120"/>
      <c r="E219" s="120"/>
      <c r="F219" s="120"/>
      <c r="G219" s="120"/>
    </row>
    <row r="220" spans="1:7">
      <c r="A220">
        <f>IFERROR(IF(B220="",0,IF(VALUE(LEFT(B220,1))&gt;3,VLOOKUP(VALUE(B220),PROYECCIONES!B:D,3,FALSE),0)),1 + COUNTIF($A$2:A219,"&gt;0"))</f>
        <v>0</v>
      </c>
      <c r="C220" s="30"/>
      <c r="D220" s="120"/>
      <c r="E220" s="120"/>
      <c r="F220" s="120"/>
      <c r="G220" s="120"/>
    </row>
    <row r="221" spans="1:7">
      <c r="A221">
        <f>IFERROR(IF(B221="",0,IF(VALUE(LEFT(B221,1))&gt;3,VLOOKUP(VALUE(B221),PROYECCIONES!B:D,3,FALSE),0)),1 + COUNTIF($A$2:A220,"&gt;0"))</f>
        <v>0</v>
      </c>
      <c r="C221" s="30"/>
      <c r="D221" s="120"/>
      <c r="E221" s="120"/>
      <c r="F221" s="120"/>
      <c r="G221" s="120"/>
    </row>
    <row r="222" spans="1:7">
      <c r="A222">
        <f>IFERROR(IF(B222="",0,IF(VALUE(LEFT(B222,1))&gt;3,VLOOKUP(VALUE(B222),PROYECCIONES!B:D,3,FALSE),0)),1 + COUNTIF($A$2:A221,"&gt;0"))</f>
        <v>0</v>
      </c>
      <c r="C222" s="30"/>
      <c r="D222" s="120"/>
      <c r="E222" s="120"/>
      <c r="F222" s="120"/>
      <c r="G222" s="120"/>
    </row>
    <row r="223" spans="1:7">
      <c r="A223">
        <f>IFERROR(IF(B223="",0,IF(VALUE(LEFT(B223,1))&gt;3,VLOOKUP(VALUE(B223),PROYECCIONES!B:D,3,FALSE),0)),1 + COUNTIF($A$2:A222,"&gt;0"))</f>
        <v>0</v>
      </c>
      <c r="C223" s="30"/>
      <c r="D223" s="120"/>
      <c r="E223" s="120"/>
      <c r="F223" s="120"/>
      <c r="G223" s="120"/>
    </row>
    <row r="224" spans="1:7">
      <c r="A224">
        <f>IFERROR(IF(B224="",0,IF(VALUE(LEFT(B224,1))&gt;3,VLOOKUP(VALUE(B224),PROYECCIONES!B:D,3,FALSE),0)),1 + COUNTIF($A$2:A223,"&gt;0"))</f>
        <v>0</v>
      </c>
      <c r="C224" s="30"/>
      <c r="D224" s="120"/>
      <c r="E224" s="120"/>
      <c r="F224" s="120"/>
      <c r="G224" s="120"/>
    </row>
    <row r="225" spans="1:9">
      <c r="A225">
        <f>IFERROR(IF(B225="",0,IF(VALUE(LEFT(B225,1))&gt;3,VLOOKUP(VALUE(B225),PROYECCIONES!B:D,3,FALSE),0)),1 + COUNTIF($A$2:A224,"&gt;0"))</f>
        <v>0</v>
      </c>
      <c r="C225" s="30"/>
      <c r="D225" s="120"/>
      <c r="E225" s="120"/>
      <c r="F225" s="120"/>
      <c r="G225" s="120"/>
    </row>
    <row r="226" spans="1:9">
      <c r="A226">
        <f>IFERROR(IF(B226="",0,IF(VALUE(LEFT(B226,1))&gt;3,VLOOKUP(VALUE(B226),PROYECCIONES!B:D,3,FALSE),0)),1 + COUNTIF($A$2:A225,"&gt;0"))</f>
        <v>0</v>
      </c>
      <c r="C226" s="30"/>
      <c r="D226" s="120"/>
      <c r="E226" s="120"/>
      <c r="F226" s="120"/>
      <c r="G226" s="120"/>
    </row>
    <row r="227" spans="1:9">
      <c r="A227">
        <f>IFERROR(IF(B227="",0,IF(VALUE(LEFT(B227,1))&gt;3,VLOOKUP(VALUE(B227),PROYECCIONES!B:D,3,FALSE),0)),1 + COUNTIF($A$2:A226,"&gt;0"))</f>
        <v>0</v>
      </c>
      <c r="C227" s="30"/>
      <c r="D227" s="120"/>
      <c r="E227" s="120"/>
      <c r="F227" s="120"/>
      <c r="G227" s="120"/>
    </row>
    <row r="228" spans="1:9">
      <c r="A228">
        <f>IFERROR(IF(B228="",0,IF(VALUE(LEFT(B228,1))&gt;3,VLOOKUP(VALUE(B228),PROYECCIONES!B:D,3,FALSE),0)),1 + COUNTIF($A$2:A227,"&gt;0"))</f>
        <v>0</v>
      </c>
      <c r="C228" s="30"/>
      <c r="D228" s="120"/>
      <c r="E228" s="120"/>
      <c r="F228" s="120"/>
      <c r="G228" s="120"/>
      <c r="I228" s="31"/>
    </row>
    <row r="229" spans="1:9">
      <c r="A229">
        <f>IFERROR(IF(B229="",0,IF(VALUE(LEFT(B229,1))&gt;3,VLOOKUP(VALUE(B229),PROYECCIONES!B:D,3,FALSE),0)),1 + COUNTIF($A$2:A228,"&gt;0"))</f>
        <v>0</v>
      </c>
      <c r="C229" s="30"/>
      <c r="D229" s="120"/>
      <c r="E229" s="120"/>
      <c r="F229" s="120"/>
      <c r="G229" s="120"/>
      <c r="I229" s="33"/>
    </row>
    <row r="230" spans="1:9">
      <c r="A230">
        <f>IFERROR(IF(B230="",0,IF(VALUE(LEFT(B230,1))&gt;3,VLOOKUP(VALUE(B230),PROYECCIONES!B:D,3,FALSE),0)),1 + COUNTIF($A$2:A229,"&gt;0"))</f>
        <v>0</v>
      </c>
      <c r="C230" s="30"/>
      <c r="D230" s="120"/>
      <c r="E230" s="120"/>
      <c r="F230" s="120"/>
      <c r="G230" s="120"/>
      <c r="I230" s="31"/>
    </row>
    <row r="231" spans="1:9">
      <c r="A231">
        <f>IFERROR(IF(B231="",0,IF(VALUE(LEFT(B231,1))&gt;3,VLOOKUP(VALUE(B231),PROYECCIONES!B:D,3,FALSE),0)),1 + COUNTIF($A$2:A230,"&gt;0"))</f>
        <v>0</v>
      </c>
    </row>
    <row r="232" spans="1:9">
      <c r="A232">
        <f>IFERROR(IF(B232="",0,IF(VALUE(LEFT(B232,1))&gt;3,VLOOKUP(VALUE(B232),PROYECCIONES!B:D,3,FALSE),0)),1 + COUNTIF($A$2:A231,"&gt;0"))</f>
        <v>0</v>
      </c>
    </row>
    <row r="233" spans="1:9">
      <c r="A233">
        <f>IFERROR(IF(B233="",0,IF(VALUE(LEFT(B233,1))&gt;3,VLOOKUP(VALUE(B233),PROYECCIONES!B:D,3,FALSE),0)),1 + COUNTIF($A$2:A232,"&gt;0"))</f>
        <v>0</v>
      </c>
    </row>
    <row r="234" spans="1:9">
      <c r="A234">
        <f>IFERROR(IF(B234="",0,IF(VALUE(LEFT(B234,1))&gt;3,VLOOKUP(VALUE(B234),PROYECCIONES!B:D,3,FALSE),0)),1 + COUNTIF($A$2:A233,"&gt;0"))</f>
        <v>0</v>
      </c>
    </row>
    <row r="235" spans="1:9">
      <c r="A235">
        <f>IFERROR(IF(B235="",0,IF(VALUE(LEFT(B235,1))&gt;3,VLOOKUP(VALUE(B235),PROYECCIONES!B:D,3,FALSE),0)),1 + COUNTIF($A$2:A234,"&gt;0"))</f>
        <v>0</v>
      </c>
    </row>
    <row r="236" spans="1:9">
      <c r="A236">
        <f>IFERROR(IF(B236="",0,IF(VALUE(LEFT(B236,1))&gt;3,VLOOKUP(VALUE(B236),PROYECCIONES!B:D,3,FALSE),0)),1 + COUNTIF($A$2:A235,"&gt;0"))</f>
        <v>0</v>
      </c>
    </row>
    <row r="237" spans="1:9">
      <c r="A237">
        <f>IFERROR(IF(B237="",0,IF(VALUE(LEFT(B237,1))&gt;3,VLOOKUP(VALUE(B237),PROYECCIONES!B:D,3,FALSE),0)),1 + COUNTIF($A$2:A236,"&gt;0"))</f>
        <v>0</v>
      </c>
    </row>
    <row r="238" spans="1:9">
      <c r="A238">
        <f>IFERROR(IF(B238="",0,IF(VALUE(LEFT(B238,1))&gt;3,VLOOKUP(VALUE(B238),PROYECCIONES!B:D,3,FALSE),0)),1 + COUNTIF($A$2:A237,"&gt;0"))</f>
        <v>0</v>
      </c>
    </row>
    <row r="239" spans="1:9">
      <c r="A239">
        <f>IFERROR(IF(B239="",0,IF(VALUE(LEFT(B239,1))&gt;3,VLOOKUP(VALUE(B239),PROYECCIONES!B:D,3,FALSE),0)),1 + COUNTIF($A$2:A238,"&gt;0"))</f>
        <v>0</v>
      </c>
    </row>
    <row r="240" spans="1:9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mergeCells count="4">
    <mergeCell ref="B1:C1"/>
    <mergeCell ref="D1:D2"/>
    <mergeCell ref="E1:F1"/>
    <mergeCell ref="G1:G2"/>
  </mergeCells>
  <conditionalFormatting sqref="B209:B1048576">
    <cfRule type="expression" dxfId="7" priority="2">
      <formula>$A209="No Agregada"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B005-C061-4BB9-888B-C42BFA3E17A1}">
  <sheetPr codeName="Hoja8"/>
  <dimension ref="A1:M300"/>
  <sheetViews>
    <sheetView topLeftCell="B1" workbookViewId="0">
      <pane ySplit="2" topLeftCell="A3" activePane="bottomLeft" state="frozen"/>
      <selection activeCell="P17" sqref="P17"/>
      <selection pane="bottomLeft" activeCell="P17" sqref="P17"/>
    </sheetView>
  </sheetViews>
  <sheetFormatPr baseColWidth="10" defaultRowHeight="15"/>
  <cols>
    <col min="1" max="1" width="11.42578125" hidden="1" customWidth="1"/>
    <col min="2" max="2" width="8.85546875" customWidth="1"/>
    <col min="3" max="3" width="29.7109375" customWidth="1"/>
    <col min="4" max="7" width="12.5703125" style="54" bestFit="1" customWidth="1"/>
    <col min="9" max="11" width="11.42578125" hidden="1" customWidth="1"/>
    <col min="12" max="12" width="5.7109375" hidden="1" customWidth="1"/>
    <col min="13" max="13" width="11.42578125" hidden="1" customWidth="1"/>
  </cols>
  <sheetData>
    <row r="1" spans="1:13">
      <c r="B1" s="288" t="s">
        <v>94</v>
      </c>
      <c r="C1" s="289"/>
      <c r="D1" s="286" t="s">
        <v>265</v>
      </c>
      <c r="E1" s="288" t="s">
        <v>266</v>
      </c>
      <c r="F1" s="289"/>
      <c r="G1" s="286" t="s">
        <v>267</v>
      </c>
    </row>
    <row r="2" spans="1:13">
      <c r="B2" s="65" t="s">
        <v>268</v>
      </c>
      <c r="C2" s="65" t="s">
        <v>269</v>
      </c>
      <c r="D2" s="287"/>
      <c r="E2" s="65" t="s">
        <v>270</v>
      </c>
      <c r="F2" s="65" t="s">
        <v>271</v>
      </c>
      <c r="G2" s="287"/>
    </row>
    <row r="3" spans="1:13">
      <c r="A3">
        <f>IFERROR(IF(B3="",0,IF(VALUE(LEFT(B3,1))&gt;3,VLOOKUP(VALUE(B3),PROYECCIONES!B:D,3,FALSE),0)),1 + COUNTIF($A$2:A2,"&gt;0"))</f>
        <v>0</v>
      </c>
      <c r="B3" s="185" t="s">
        <v>358</v>
      </c>
      <c r="C3" s="185" t="s">
        <v>359</v>
      </c>
      <c r="D3" s="53">
        <v>3385</v>
      </c>
      <c r="E3" s="53">
        <v>3096215</v>
      </c>
      <c r="F3" s="53">
        <v>2555500</v>
      </c>
      <c r="G3" s="53">
        <v>544100</v>
      </c>
      <c r="I3">
        <f>COUNTIF(A3:A300,"&gt;0")</f>
        <v>0</v>
      </c>
      <c r="J3" t="s">
        <v>3</v>
      </c>
      <c r="K3" t="s">
        <v>223</v>
      </c>
      <c r="L3" t="s">
        <v>224</v>
      </c>
    </row>
    <row r="4" spans="1:13">
      <c r="A4">
        <f>IFERROR(IF(B4="",0,IF(VALUE(LEFT(B4,1))&gt;3,VLOOKUP(VALUE(B4),PROYECCIONES!B:D,3,FALSE),0)),1 + COUNTIF($A$2:A3,"&gt;0"))</f>
        <v>0</v>
      </c>
      <c r="B4" s="185" t="s">
        <v>548</v>
      </c>
      <c r="C4" s="185" t="s">
        <v>549</v>
      </c>
      <c r="D4" s="53">
        <v>0</v>
      </c>
      <c r="E4" s="53">
        <v>400000</v>
      </c>
      <c r="F4" s="53">
        <v>0</v>
      </c>
      <c r="G4" s="53">
        <v>400000</v>
      </c>
      <c r="I4" s="123">
        <v>1</v>
      </c>
      <c r="J4" t="str">
        <f>IFERROR(VLOOKUP(I4,'Balance a Jul'!$A$3:$C$300,2,FALSE),"")</f>
        <v/>
      </c>
      <c r="K4" t="str">
        <f>IFERROR(VLOOKUP(I4,'Balance a Jul'!$A$3:$C$300,3,FALSE),"")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</row>
    <row r="5" spans="1:13">
      <c r="A5">
        <f>IFERROR(IF(B5="",0,IF(VALUE(LEFT(B5,1))&gt;3,VLOOKUP(VALUE(B5),PROYECCIONES!B:D,3,FALSE),0)),1 + COUNTIF($A$2:A4,"&gt;0"))</f>
        <v>0</v>
      </c>
      <c r="B5" s="185" t="s">
        <v>272</v>
      </c>
      <c r="C5" s="185" t="s">
        <v>468</v>
      </c>
      <c r="D5" s="53">
        <v>3602229.1400008202</v>
      </c>
      <c r="E5" s="53">
        <v>363733955</v>
      </c>
      <c r="F5" s="53">
        <v>363632141.74000001</v>
      </c>
      <c r="G5" s="53">
        <v>3704042.40000105</v>
      </c>
      <c r="I5" s="123">
        <v>2</v>
      </c>
      <c r="J5" t="str">
        <f>IFERROR(VLOOKUP(I5,'Balance a Jul'!$A$3:$C$300,2,FALSE),"")</f>
        <v/>
      </c>
      <c r="K5" t="str">
        <f>IFERROR(VLOOKUP(I5,'Balance a Jul'!$A$3:$C$300,3,FALSE),"")</f>
        <v/>
      </c>
      <c r="L5" t="str">
        <f>IFERROR(IF(AND(VALUE(LEFT(J5,1))&gt;=6,VALUE(LEFT(J5,1))&lt;=7),_xlfn.XMATCH(VALUE(J5),PROYECCIONES!$B$1:$B$38,-1,1),_xlfn.XMATCH(VALUE(J5),PROYECCIONES!$B$1:$B$333,-1,1)),"")</f>
        <v/>
      </c>
      <c r="M5">
        <v>0</v>
      </c>
    </row>
    <row r="6" spans="1:13">
      <c r="A6">
        <f>IFERROR(IF(B6="",0,IF(VALUE(LEFT(B6,1))&gt;3,VLOOKUP(VALUE(B6),PROYECCIONES!B:D,3,FALSE),0)),1 + COUNTIF($A$2:A5,"&gt;0"))</f>
        <v>0</v>
      </c>
      <c r="B6" s="185" t="s">
        <v>273</v>
      </c>
      <c r="C6" s="185" t="s">
        <v>469</v>
      </c>
      <c r="D6" s="53">
        <v>2038.61000000685</v>
      </c>
      <c r="E6" s="53">
        <v>0</v>
      </c>
      <c r="F6" s="53">
        <v>0</v>
      </c>
      <c r="G6" s="53">
        <v>2038.61000000685</v>
      </c>
      <c r="I6" s="123">
        <v>3</v>
      </c>
      <c r="J6" t="str">
        <f>IFERROR(VLOOKUP(I6,'Balance a Jul'!$A$3:$C$300,2,FALSE),"")</f>
        <v/>
      </c>
      <c r="K6" t="str">
        <f>IFERROR(VLOOKUP(I6,'Balance a Jul'!$A$3:$C$300,3,FALSE),"")</f>
        <v/>
      </c>
      <c r="L6" t="str">
        <f>IFERROR(IF(AND(VALUE(LEFT(J6,1))&gt;=6,VALUE(LEFT(J6,1))&lt;=7),_xlfn.XMATCH(VALUE(J6),PROYECCIONES!$B$1:$B$38,-1,1),_xlfn.XMATCH(VALUE(J6),PROYECCIONES!$B$1:$B$333,-1,1)),"")</f>
        <v/>
      </c>
    </row>
    <row r="7" spans="1:13">
      <c r="A7">
        <f>IFERROR(IF(B7="",0,IF(VALUE(LEFT(B7,1))&gt;3,VLOOKUP(VALUE(B7),PROYECCIONES!B:D,3,FALSE),0)),1 + COUNTIF($A$2:A6,"&gt;0"))</f>
        <v>0</v>
      </c>
      <c r="B7" s="185" t="s">
        <v>418</v>
      </c>
      <c r="C7" s="185" t="s">
        <v>470</v>
      </c>
      <c r="D7" s="53">
        <v>30748859.73</v>
      </c>
      <c r="E7" s="53">
        <v>155111920</v>
      </c>
      <c r="F7" s="53">
        <v>159405809.13</v>
      </c>
      <c r="G7" s="53">
        <v>26454970.600000001</v>
      </c>
      <c r="I7" s="123">
        <v>4</v>
      </c>
      <c r="J7" t="str">
        <f>IFERROR(VLOOKUP(I7,'Balance a Jul'!$A$3:$C$300,2,FALSE),"")</f>
        <v/>
      </c>
      <c r="K7" t="str">
        <f>IFERROR(VLOOKUP(I7,'Balance a Jul'!$A$3:$C$300,3,FALSE),"")</f>
        <v/>
      </c>
      <c r="L7" t="str">
        <f>IFERROR(IF(AND(VALUE(LEFT(J7,1))&gt;=6,VALUE(LEFT(J7,1))&lt;=7),_xlfn.XMATCH(VALUE(J7),PROYECCIONES!$B$1:$B$38,-1,1),_xlfn.XMATCH(VALUE(J7),PROYECCIONES!$B$1:$B$333,-1,1)),"")</f>
        <v/>
      </c>
    </row>
    <row r="8" spans="1:13">
      <c r="A8">
        <f>IFERROR(IF(B8="",0,IF(VALUE(LEFT(B8,1))&gt;3,VLOOKUP(VALUE(B8),PROYECCIONES!B:D,3,FALSE),0)),1 + COUNTIF($A$2:A7,"&gt;0"))</f>
        <v>0</v>
      </c>
      <c r="B8" s="185" t="s">
        <v>118</v>
      </c>
      <c r="C8" s="185" t="s">
        <v>225</v>
      </c>
      <c r="D8" s="53">
        <v>38903066.089999899</v>
      </c>
      <c r="E8" s="53">
        <v>480167240.91000003</v>
      </c>
      <c r="F8" s="53">
        <v>482681672</v>
      </c>
      <c r="G8" s="53">
        <v>36388635</v>
      </c>
      <c r="I8" s="123">
        <v>5</v>
      </c>
      <c r="J8" t="str">
        <f>IFERROR(VLOOKUP(I8,'Balance a Jul'!$A$3:$C$300,2,FALSE),"")</f>
        <v/>
      </c>
      <c r="K8" t="str">
        <f>IFERROR(VLOOKUP(I8,'Balance a Jul'!$A$3:$C$300,3,FALSE),"")</f>
        <v/>
      </c>
      <c r="L8" t="str">
        <f>IFERROR(IF(AND(VALUE(LEFT(J8,1))&gt;=6,VALUE(LEFT(J8,1))&lt;=7),_xlfn.XMATCH(VALUE(J8),PROYECCIONES!$B$1:$B$38,-1,1),_xlfn.XMATCH(VALUE(J8),PROYECCIONES!$B$1:$B$333,-1,1)),"")</f>
        <v/>
      </c>
    </row>
    <row r="9" spans="1:13">
      <c r="A9">
        <f>IFERROR(IF(B9="",0,IF(VALUE(LEFT(B9,1))&gt;3,VLOOKUP(VALUE(B9),PROYECCIONES!B:D,3,FALSE),0)),1 + COUNTIF($A$2:A8,"&gt;0"))</f>
        <v>0</v>
      </c>
      <c r="B9" s="185" t="s">
        <v>274</v>
      </c>
      <c r="C9" s="185" t="s">
        <v>226</v>
      </c>
      <c r="D9" s="53">
        <v>239052845.71000001</v>
      </c>
      <c r="E9" s="53">
        <v>80776152.189999998</v>
      </c>
      <c r="F9" s="53">
        <v>64428308</v>
      </c>
      <c r="G9" s="53">
        <v>255400689.90000001</v>
      </c>
      <c r="I9" s="123">
        <v>6</v>
      </c>
      <c r="J9" t="str">
        <f>IFERROR(VLOOKUP(I9,'Balance a Jul'!$A$3:$C$300,2,FALSE),"")</f>
        <v/>
      </c>
      <c r="K9" t="str">
        <f>IFERROR(VLOOKUP(I9,'Balance a Jul'!$A$3:$C$300,3,FALSE),"")</f>
        <v/>
      </c>
      <c r="L9" t="str">
        <f>IFERROR(IF(AND(VALUE(LEFT(J9,1))&gt;=6,VALUE(LEFT(J9,1))&lt;=7),_xlfn.XMATCH(VALUE(J9),PROYECCIONES!$B$1:$B$38,-1,1),_xlfn.XMATCH(VALUE(J9),PROYECCIONES!$B$1:$B$333,-1,1)),"")</f>
        <v/>
      </c>
    </row>
    <row r="10" spans="1:13">
      <c r="A10">
        <f>IFERROR(IF(B10="",0,IF(VALUE(LEFT(B10,1))&gt;3,VLOOKUP(VALUE(B10),PROYECCIONES!B:D,3,FALSE),0)),1 + COUNTIF($A$2:A9,"&gt;0"))</f>
        <v>0</v>
      </c>
      <c r="B10" s="185" t="s">
        <v>275</v>
      </c>
      <c r="C10" s="185" t="s">
        <v>227</v>
      </c>
      <c r="D10" s="53">
        <v>14200000</v>
      </c>
      <c r="E10" s="53">
        <v>33700000</v>
      </c>
      <c r="F10" s="53">
        <v>0</v>
      </c>
      <c r="G10" s="53">
        <v>47900000</v>
      </c>
      <c r="I10" s="123">
        <v>7</v>
      </c>
      <c r="J10" t="str">
        <f>IFERROR(VLOOKUP(I10,'Balance a Jul'!$A$3:$C$300,2,FALSE),"")</f>
        <v/>
      </c>
      <c r="K10" t="str">
        <f>IFERROR(VLOOKUP(I10,'Balance a Jul'!$A$3:$C$300,3,FALSE),"")</f>
        <v/>
      </c>
      <c r="L10" t="str">
        <f>IFERROR(IF(AND(VALUE(LEFT(J10,1))&gt;=6,VALUE(LEFT(J10,1))&lt;=7),_xlfn.XMATCH(VALUE(J10),PROYECCIONES!$B$1:$B$38,-1,1),_xlfn.XMATCH(VALUE(J10),PROYECCIONES!$B$1:$B$333,-1,1)),"")</f>
        <v/>
      </c>
    </row>
    <row r="11" spans="1:13">
      <c r="A11">
        <f>IFERROR(IF(B11="",0,IF(VALUE(LEFT(B11,1))&gt;3,VLOOKUP(VALUE(B11),PROYECCIONES!B:D,3,FALSE),0)),1 + COUNTIF($A$2:A10,"&gt;0"))</f>
        <v>0</v>
      </c>
      <c r="B11" s="185" t="s">
        <v>276</v>
      </c>
      <c r="C11" s="185" t="s">
        <v>228</v>
      </c>
      <c r="D11" s="53">
        <v>35066662</v>
      </c>
      <c r="E11" s="53">
        <v>2000008</v>
      </c>
      <c r="F11" s="53">
        <v>1000000</v>
      </c>
      <c r="G11" s="53">
        <v>36066670</v>
      </c>
      <c r="I11" s="123">
        <v>8</v>
      </c>
      <c r="J11" t="str">
        <f>IFERROR(VLOOKUP(I11,'Balance a Jul'!$A$3:$C$300,2,FALSE),"")</f>
        <v/>
      </c>
      <c r="K11" t="str">
        <f>IFERROR(VLOOKUP(I11,'Balance a Jul'!$A$3:$C$300,3,FALSE),"")</f>
        <v/>
      </c>
      <c r="L11" t="str">
        <f>IFERROR(IF(AND(VALUE(LEFT(J11,1))&gt;=6,VALUE(LEFT(J11,1))&lt;=7),_xlfn.XMATCH(VALUE(J11),PROYECCIONES!$B$1:$B$38,-1,1),_xlfn.XMATCH(VALUE(J11),PROYECCIONES!$B$1:$B$333,-1,1)),"")</f>
        <v/>
      </c>
    </row>
    <row r="12" spans="1:13">
      <c r="A12">
        <f>IFERROR(IF(B12="",0,IF(VALUE(LEFT(B12,1))&gt;3,VLOOKUP(VALUE(B12),PROYECCIONES!B:D,3,FALSE),0)),1 + COUNTIF($A$2:A11,"&gt;0"))</f>
        <v>0</v>
      </c>
      <c r="B12" s="185" t="s">
        <v>277</v>
      </c>
      <c r="C12" s="185" t="s">
        <v>229</v>
      </c>
      <c r="D12" s="53">
        <v>0</v>
      </c>
      <c r="E12" s="53">
        <v>11933498</v>
      </c>
      <c r="F12" s="53">
        <v>11533498</v>
      </c>
      <c r="G12" s="53">
        <v>400000</v>
      </c>
      <c r="I12" s="123">
        <v>9</v>
      </c>
      <c r="J12" t="str">
        <f>IFERROR(VLOOKUP(I12,'Balance a Jul'!$A$3:$C$300,2,FALSE),"")</f>
        <v/>
      </c>
      <c r="K12" t="str">
        <f>IFERROR(VLOOKUP(I12,'Balance a Jul'!$A$3:$C$300,3,FALSE),"")</f>
        <v/>
      </c>
      <c r="L12" t="str">
        <f>IFERROR(IF(AND(VALUE(LEFT(J12,1))&gt;=6,VALUE(LEFT(J12,1))&lt;=7),_xlfn.XMATCH(VALUE(J12),PROYECCIONES!$B$1:$B$38,-1,1),_xlfn.XMATCH(VALUE(J12),PROYECCIONES!$B$1:$B$333,-1,1)),"")</f>
        <v/>
      </c>
    </row>
    <row r="13" spans="1:13">
      <c r="A13">
        <f>IFERROR(IF(B13="",0,IF(VALUE(LEFT(B13,1))&gt;3,VLOOKUP(VALUE(B13),PROYECCIONES!B:D,3,FALSE),0)),1 + COUNTIF($A$2:A12,"&gt;0"))</f>
        <v>0</v>
      </c>
      <c r="B13" s="185" t="s">
        <v>278</v>
      </c>
      <c r="C13" s="185" t="s">
        <v>230</v>
      </c>
      <c r="D13" s="53">
        <v>55910253.5</v>
      </c>
      <c r="E13" s="53">
        <v>44997690</v>
      </c>
      <c r="F13" s="53">
        <v>56504253.5</v>
      </c>
      <c r="G13" s="53">
        <v>44403690</v>
      </c>
      <c r="I13" s="123">
        <v>10</v>
      </c>
      <c r="J13" t="str">
        <f>IFERROR(VLOOKUP(I13,'Balance a Jul'!$A$3:$C$300,2,FALSE),"")</f>
        <v/>
      </c>
      <c r="K13" t="str">
        <f>IFERROR(VLOOKUP(I13,'Balance a Jul'!$A$3:$C$300,3,FALSE),"")</f>
        <v/>
      </c>
      <c r="L13" t="str">
        <f>IFERROR(IF(AND(VALUE(LEFT(J13,1))&gt;=6,VALUE(LEFT(J13,1))&lt;=7),_xlfn.XMATCH(VALUE(J13),PROYECCIONES!$B$1:$B$38,-1,1),_xlfn.XMATCH(VALUE(J13),PROYECCIONES!$B$1:$B$333,-1,1)),"")</f>
        <v/>
      </c>
    </row>
    <row r="14" spans="1:13">
      <c r="A14">
        <f>IFERROR(IF(B14="",0,IF(VALUE(LEFT(B14,1))&gt;3,VLOOKUP(VALUE(B14),PROYECCIONES!B:D,3,FALSE),0)),1 + COUNTIF($A$2:A13,"&gt;0"))</f>
        <v>0</v>
      </c>
      <c r="B14" s="185" t="s">
        <v>425</v>
      </c>
      <c r="C14" s="185" t="s">
        <v>426</v>
      </c>
      <c r="D14" s="53">
        <v>230000</v>
      </c>
      <c r="E14" s="53">
        <v>0</v>
      </c>
      <c r="F14" s="53">
        <v>0</v>
      </c>
      <c r="G14" s="53">
        <v>230000</v>
      </c>
      <c r="I14" s="123">
        <v>11</v>
      </c>
      <c r="J14" t="str">
        <f>IFERROR(VLOOKUP(I14,'Balance a Jul'!$A$3:$C$300,2,FALSE),"")</f>
        <v/>
      </c>
      <c r="K14" t="str">
        <f>IFERROR(VLOOKUP(I14,'Balance a Jul'!$A$3:$C$300,3,FALSE),"")</f>
        <v/>
      </c>
      <c r="L14" t="str">
        <f>IFERROR(IF(AND(VALUE(LEFT(J14,1))&gt;=6,VALUE(LEFT(J14,1))&lt;=7),_xlfn.XMATCH(VALUE(J14),PROYECCIONES!$B$1:$B$38,-1,1),_xlfn.XMATCH(VALUE(J14),PROYECCIONES!$B$1:$B$333,-1,1)),"")</f>
        <v/>
      </c>
    </row>
    <row r="15" spans="1:13">
      <c r="A15">
        <f>IFERROR(IF(B15="",0,IF(VALUE(LEFT(B15,1))&gt;3,VLOOKUP(VALUE(B15),PROYECCIONES!B:D,3,FALSE),0)),1 + COUNTIF($A$2:A14,"&gt;0"))</f>
        <v>0</v>
      </c>
      <c r="B15" s="185" t="s">
        <v>454</v>
      </c>
      <c r="C15" s="185" t="s">
        <v>455</v>
      </c>
      <c r="D15" s="53">
        <v>24000</v>
      </c>
      <c r="E15" s="53">
        <v>0</v>
      </c>
      <c r="F15" s="53">
        <v>36000</v>
      </c>
      <c r="G15" s="53">
        <v>-12000</v>
      </c>
      <c r="I15" s="123">
        <v>12</v>
      </c>
      <c r="J15" t="str">
        <f>IFERROR(VLOOKUP(I15,'Balance a Jul'!$A$3:$C$300,2,FALSE),"")</f>
        <v/>
      </c>
      <c r="K15" t="str">
        <f>IFERROR(VLOOKUP(I15,'Balance a Jul'!$A$3:$C$300,3,FALSE),"")</f>
        <v/>
      </c>
      <c r="L15" t="str">
        <f>IFERROR(IF(AND(VALUE(LEFT(J15,1))&gt;=6,VALUE(LEFT(J15,1))&lt;=7),_xlfn.XMATCH(VALUE(J15),PROYECCIONES!$B$1:$B$38,-1,1),_xlfn.XMATCH(VALUE(J15),PROYECCIONES!$B$1:$B$333,-1,1)),"")</f>
        <v/>
      </c>
    </row>
    <row r="16" spans="1:13">
      <c r="A16">
        <f>IFERROR(IF(B16="",0,IF(VALUE(LEFT(B16,1))&gt;3,VLOOKUP(VALUE(B16),PROYECCIONES!B:D,3,FALSE),0)),1 + COUNTIF($A$2:A15,"&gt;0"))</f>
        <v>0</v>
      </c>
      <c r="B16" s="185" t="s">
        <v>279</v>
      </c>
      <c r="C16" s="185" t="s">
        <v>231</v>
      </c>
      <c r="D16" s="53">
        <v>922339.449999996</v>
      </c>
      <c r="E16" s="53">
        <v>2148303</v>
      </c>
      <c r="F16" s="53">
        <v>2268923</v>
      </c>
      <c r="G16" s="53">
        <v>801719.449999996</v>
      </c>
      <c r="I16" s="123">
        <v>13</v>
      </c>
      <c r="J16" t="str">
        <f>IFERROR(VLOOKUP(I16,'Balance a Jul'!$A$3:$C$300,2,FALSE),"")</f>
        <v/>
      </c>
      <c r="K16" t="str">
        <f>IFERROR(VLOOKUP(I16,'Balance a Jul'!$A$3:$C$300,3,FALSE),"")</f>
        <v/>
      </c>
      <c r="L16" t="str">
        <f>IFERROR(IF(AND(VALUE(LEFT(J16,1))&gt;=6,VALUE(LEFT(J16,1))&lt;=7),_xlfn.XMATCH(VALUE(J16),PROYECCIONES!$B$1:$B$38,-1,1),_xlfn.XMATCH(VALUE(J16),PROYECCIONES!$B$1:$B$333,-1,1)),"")</f>
        <v/>
      </c>
    </row>
    <row r="17" spans="1:12">
      <c r="A17">
        <f>IFERROR(IF(B17="",0,IF(VALUE(LEFT(B17,1))&gt;3,VLOOKUP(VALUE(B17),PROYECCIONES!B:D,3,FALSE),0)),1 + COUNTIF($A$2:A16,"&gt;0"))</f>
        <v>0</v>
      </c>
      <c r="B17" s="185" t="s">
        <v>280</v>
      </c>
      <c r="C17" s="185" t="s">
        <v>232</v>
      </c>
      <c r="D17" s="53">
        <v>1595197.91</v>
      </c>
      <c r="E17" s="53">
        <v>781016</v>
      </c>
      <c r="F17" s="53">
        <v>1595197.91</v>
      </c>
      <c r="G17" s="53">
        <v>781016</v>
      </c>
      <c r="I17" s="123">
        <v>14</v>
      </c>
      <c r="J17" t="str">
        <f>IFERROR(VLOOKUP(I17,'Balance a Jul'!$A$3:$C$300,2,FALSE),"")</f>
        <v/>
      </c>
      <c r="K17" t="str">
        <f>IFERROR(VLOOKUP(I17,'Balance a Jul'!$A$3:$C$300,3,FALSE),"")</f>
        <v/>
      </c>
      <c r="L17" t="str">
        <f>IFERROR(IF(AND(VALUE(LEFT(J17,1))&gt;=6,VALUE(LEFT(J17,1))&lt;=7),_xlfn.XMATCH(VALUE(J17),PROYECCIONES!$B$1:$B$38,-1,1),_xlfn.XMATCH(VALUE(J17),PROYECCIONES!$B$1:$B$333,-1,1)),"")</f>
        <v/>
      </c>
    </row>
    <row r="18" spans="1:12">
      <c r="A18">
        <f>IFERROR(IF(B18="",0,IF(VALUE(LEFT(B18,1))&gt;3,VLOOKUP(VALUE(B18),PROYECCIONES!B:D,3,FALSE),0)),1 + COUNTIF($A$2:A17,"&gt;0"))</f>
        <v>0</v>
      </c>
      <c r="B18" s="185" t="s">
        <v>281</v>
      </c>
      <c r="C18" s="185" t="s">
        <v>233</v>
      </c>
      <c r="D18" s="53">
        <v>0</v>
      </c>
      <c r="E18" s="53">
        <v>88992</v>
      </c>
      <c r="F18" s="53">
        <v>0</v>
      </c>
      <c r="G18" s="53">
        <v>88992</v>
      </c>
      <c r="I18" s="123">
        <v>15</v>
      </c>
      <c r="J18" t="str">
        <f>IFERROR(VLOOKUP(I18,'Balance a Jul'!$A$3:$C$300,2,FALSE),"")</f>
        <v/>
      </c>
      <c r="K18" t="str">
        <f>IFERROR(VLOOKUP(I18,'Balance a Jul'!$A$3:$C$300,3,FALSE),"")</f>
        <v/>
      </c>
      <c r="L18" t="str">
        <f>IFERROR(IF(AND(VALUE(LEFT(J18,1))&gt;=6,VALUE(LEFT(J18,1))&lt;=7),_xlfn.XMATCH(VALUE(J18),PROYECCIONES!$B$1:$B$38,-1,1),_xlfn.XMATCH(VALUE(J18),PROYECCIONES!$B$1:$B$333,-1,1)),"")</f>
        <v/>
      </c>
    </row>
    <row r="19" spans="1:12">
      <c r="A19">
        <f>IFERROR(IF(B19="",0,IF(VALUE(LEFT(B19,1))&gt;3,VLOOKUP(VALUE(B19),PROYECCIONES!B:D,3,FALSE),0)),1 + COUNTIF($A$2:A18,"&gt;0"))</f>
        <v>0</v>
      </c>
      <c r="B19" s="185" t="s">
        <v>405</v>
      </c>
      <c r="C19" s="185" t="s">
        <v>406</v>
      </c>
      <c r="D19" s="53">
        <v>0</v>
      </c>
      <c r="E19" s="53">
        <v>442200</v>
      </c>
      <c r="F19" s="53">
        <v>0</v>
      </c>
      <c r="G19" s="53">
        <v>442200</v>
      </c>
    </row>
    <row r="20" spans="1:12">
      <c r="A20">
        <f>IFERROR(IF(B20="",0,IF(VALUE(LEFT(B20,1))&gt;3,VLOOKUP(VALUE(B20),PROYECCIONES!B:D,3,FALSE),0)),1 + COUNTIF($A$2:A19,"&gt;0"))</f>
        <v>0</v>
      </c>
      <c r="B20" s="185" t="s">
        <v>427</v>
      </c>
      <c r="C20" s="185" t="s">
        <v>428</v>
      </c>
      <c r="D20" s="53">
        <v>251700</v>
      </c>
      <c r="E20" s="53">
        <v>44200</v>
      </c>
      <c r="F20" s="53">
        <v>276420</v>
      </c>
      <c r="G20" s="53">
        <v>19480</v>
      </c>
    </row>
    <row r="21" spans="1:12">
      <c r="A21">
        <f>IFERROR(IF(B21="",0,IF(VALUE(LEFT(B21,1))&gt;3,VLOOKUP(VALUE(B21),PROYECCIONES!B:D,3,FALSE),0)),1 + COUNTIF($A$2:A20,"&gt;0"))</f>
        <v>0</v>
      </c>
      <c r="B21" s="185" t="s">
        <v>550</v>
      </c>
      <c r="C21" s="185" t="s">
        <v>551</v>
      </c>
      <c r="D21" s="53">
        <v>0</v>
      </c>
      <c r="E21" s="53">
        <v>10090</v>
      </c>
      <c r="F21" s="53">
        <v>0</v>
      </c>
      <c r="G21" s="53">
        <v>10090</v>
      </c>
    </row>
    <row r="22" spans="1:12">
      <c r="A22">
        <f>IFERROR(IF(B22="",0,IF(VALUE(LEFT(B22,1))&gt;3,VLOOKUP(VALUE(B22),PROYECCIONES!B:D,3,FALSE),0)),1 + COUNTIF($A$2:A21,"&gt;0"))</f>
        <v>0</v>
      </c>
      <c r="B22" s="185" t="s">
        <v>596</v>
      </c>
      <c r="C22" s="185" t="s">
        <v>597</v>
      </c>
      <c r="D22" s="53">
        <v>0</v>
      </c>
      <c r="E22" s="53">
        <v>37911254</v>
      </c>
      <c r="F22" s="53">
        <v>37911254</v>
      </c>
      <c r="G22" s="53">
        <v>0</v>
      </c>
    </row>
    <row r="23" spans="1:12">
      <c r="A23">
        <f>IFERROR(IF(B23="",0,IF(VALUE(LEFT(B23,1))&gt;3,VLOOKUP(VALUE(B23),PROYECCIONES!B:D,3,FALSE),0)),1 + COUNTIF($A$2:A22,"&gt;0"))</f>
        <v>0</v>
      </c>
      <c r="B23" s="185" t="s">
        <v>435</v>
      </c>
      <c r="C23" s="185" t="s">
        <v>436</v>
      </c>
      <c r="D23" s="53">
        <v>3625000</v>
      </c>
      <c r="E23" s="53">
        <v>0</v>
      </c>
      <c r="F23" s="53">
        <v>0</v>
      </c>
      <c r="G23" s="53">
        <v>3625000</v>
      </c>
    </row>
    <row r="24" spans="1:12">
      <c r="A24">
        <f>IFERROR(IF(B24="",0,IF(VALUE(LEFT(B24,1))&gt;3,VLOOKUP(VALUE(B24),PROYECCIONES!B:D,3,FALSE),0)),1 + COUNTIF($A$2:A23,"&gt;0"))</f>
        <v>0</v>
      </c>
      <c r="B24" s="185" t="s">
        <v>377</v>
      </c>
      <c r="C24" s="185" t="s">
        <v>373</v>
      </c>
      <c r="D24" s="53">
        <v>4742306</v>
      </c>
      <c r="E24" s="53">
        <v>3515275</v>
      </c>
      <c r="F24" s="53">
        <v>4793400</v>
      </c>
      <c r="G24" s="53">
        <v>3464181</v>
      </c>
    </row>
    <row r="25" spans="1:12">
      <c r="A25">
        <f>IFERROR(IF(B25="",0,IF(VALUE(LEFT(B25,1))&gt;3,VLOOKUP(VALUE(B25),PROYECCIONES!B:D,3,FALSE),0)),1 + COUNTIF($A$2:A24,"&gt;0"))</f>
        <v>0</v>
      </c>
      <c r="B25" s="185" t="s">
        <v>360</v>
      </c>
      <c r="C25" s="185" t="s">
        <v>361</v>
      </c>
      <c r="D25" s="53">
        <v>2530000</v>
      </c>
      <c r="E25" s="53">
        <v>1610400</v>
      </c>
      <c r="F25" s="53">
        <v>2530000</v>
      </c>
      <c r="G25" s="53">
        <v>1610400</v>
      </c>
    </row>
    <row r="26" spans="1:12">
      <c r="A26">
        <f>IFERROR(IF(B26="",0,IF(VALUE(LEFT(B26,1))&gt;3,VLOOKUP(VALUE(B26),PROYECCIONES!B:D,3,FALSE),0)),1 + COUNTIF($A$2:A25,"&gt;0"))</f>
        <v>0</v>
      </c>
      <c r="B26" s="185" t="s">
        <v>282</v>
      </c>
      <c r="C26" s="185" t="s">
        <v>234</v>
      </c>
      <c r="D26" s="53">
        <v>43467544</v>
      </c>
      <c r="E26" s="53">
        <v>0</v>
      </c>
      <c r="F26" s="53">
        <v>0</v>
      </c>
      <c r="G26" s="53">
        <v>43467544</v>
      </c>
    </row>
    <row r="27" spans="1:12">
      <c r="A27">
        <f>IFERROR(IF(B27="",0,IF(VALUE(LEFT(B27,1))&gt;3,VLOOKUP(VALUE(B27),PROYECCIONES!B:D,3,FALSE),0)),1 + COUNTIF($A$2:A26,"&gt;0"))</f>
        <v>0</v>
      </c>
      <c r="B27" s="185" t="s">
        <v>471</v>
      </c>
      <c r="C27" s="185" t="s">
        <v>472</v>
      </c>
      <c r="D27" s="53">
        <v>0</v>
      </c>
      <c r="E27" s="53">
        <v>181000</v>
      </c>
      <c r="F27" s="53">
        <v>181000</v>
      </c>
      <c r="G27" s="53">
        <v>0</v>
      </c>
    </row>
    <row r="28" spans="1:12">
      <c r="A28">
        <f>IFERROR(IF(B28="",0,IF(VALUE(LEFT(B28,1))&gt;3,VLOOKUP(VALUE(B28),PROYECCIONES!B:D,3,FALSE),0)),1 + COUNTIF($A$2:A27,"&gt;0"))</f>
        <v>0</v>
      </c>
      <c r="B28" s="185" t="s">
        <v>283</v>
      </c>
      <c r="C28" s="185" t="s">
        <v>235</v>
      </c>
      <c r="D28" s="53">
        <v>31548323.850000001</v>
      </c>
      <c r="E28" s="53">
        <v>760300</v>
      </c>
      <c r="F28" s="53">
        <v>3560300</v>
      </c>
      <c r="G28" s="53">
        <v>28748323.850000001</v>
      </c>
    </row>
    <row r="29" spans="1:12">
      <c r="A29">
        <f>IFERROR(IF(B29="",0,IF(VALUE(LEFT(B29,1))&gt;3,VLOOKUP(VALUE(B29),PROYECCIONES!B:D,3,FALSE),0)),1 + COUNTIF($A$2:A28,"&gt;0"))</f>
        <v>0</v>
      </c>
      <c r="B29" s="185" t="s">
        <v>378</v>
      </c>
      <c r="C29" s="185" t="s">
        <v>379</v>
      </c>
      <c r="D29" s="53">
        <v>900000</v>
      </c>
      <c r="E29" s="53">
        <v>27000000</v>
      </c>
      <c r="F29" s="53">
        <v>1105754</v>
      </c>
      <c r="G29" s="53">
        <v>26794246</v>
      </c>
    </row>
    <row r="30" spans="1:12">
      <c r="A30">
        <f>IFERROR(IF(B30="",0,IF(VALUE(LEFT(B30,1))&gt;3,VLOOKUP(VALUE(B30),PROYECCIONES!B:D,3,FALSE),0)),1 + COUNTIF($A$2:A29,"&gt;0"))</f>
        <v>0</v>
      </c>
      <c r="B30" s="185" t="s">
        <v>284</v>
      </c>
      <c r="C30" s="185" t="s">
        <v>236</v>
      </c>
      <c r="D30" s="53">
        <v>50000</v>
      </c>
      <c r="E30" s="53">
        <v>231422.34</v>
      </c>
      <c r="F30" s="53">
        <v>96950</v>
      </c>
      <c r="G30" s="53">
        <v>184472.34</v>
      </c>
    </row>
    <row r="31" spans="1:12">
      <c r="A31">
        <f>IFERROR(IF(B31="",0,IF(VALUE(LEFT(B31,1))&gt;3,VLOOKUP(VALUE(B31),PROYECCIONES!B:D,3,FALSE),0)),1 + COUNTIF($A$2:A30,"&gt;0"))</f>
        <v>0</v>
      </c>
      <c r="B31" s="185" t="s">
        <v>285</v>
      </c>
      <c r="C31" s="185" t="s">
        <v>237</v>
      </c>
      <c r="D31" s="53">
        <v>18023845.800000001</v>
      </c>
      <c r="E31" s="53">
        <v>2064706</v>
      </c>
      <c r="F31" s="53">
        <v>0</v>
      </c>
      <c r="G31" s="53">
        <v>20088551.800000001</v>
      </c>
    </row>
    <row r="32" spans="1:12">
      <c r="A32">
        <f>IFERROR(IF(B32="",0,IF(VALUE(LEFT(B32,1))&gt;3,VLOOKUP(VALUE(B32),PROYECCIONES!B:D,3,FALSE),0)),1 + COUNTIF($A$2:A31,"&gt;0"))</f>
        <v>0</v>
      </c>
      <c r="B32" s="185" t="s">
        <v>536</v>
      </c>
      <c r="C32" s="185" t="s">
        <v>537</v>
      </c>
      <c r="D32" s="53">
        <v>0</v>
      </c>
      <c r="E32" s="53">
        <v>8200000</v>
      </c>
      <c r="F32" s="53">
        <v>0</v>
      </c>
      <c r="G32" s="53">
        <v>8200000</v>
      </c>
    </row>
    <row r="33" spans="1:7">
      <c r="A33">
        <f>IFERROR(IF(B33="",0,IF(VALUE(LEFT(B33,1))&gt;3,VLOOKUP(VALUE(B33),PROYECCIONES!B:D,3,FALSE),0)),1 + COUNTIF($A$2:A32,"&gt;0"))</f>
        <v>0</v>
      </c>
      <c r="B33" s="185" t="s">
        <v>286</v>
      </c>
      <c r="C33" s="185" t="s">
        <v>238</v>
      </c>
      <c r="D33" s="53">
        <v>61490000</v>
      </c>
      <c r="E33" s="53">
        <v>45900000</v>
      </c>
      <c r="F33" s="53">
        <v>0</v>
      </c>
      <c r="G33" s="53">
        <v>107390000</v>
      </c>
    </row>
    <row r="34" spans="1:7">
      <c r="A34">
        <f>IFERROR(IF(B34="",0,IF(VALUE(LEFT(B34,1))&gt;3,VLOOKUP(VALUE(B34),PROYECCIONES!B:D,3,FALSE),0)),1 + COUNTIF($A$2:A33,"&gt;0"))</f>
        <v>0</v>
      </c>
      <c r="B34" s="185" t="s">
        <v>287</v>
      </c>
      <c r="C34" s="185" t="s">
        <v>239</v>
      </c>
      <c r="D34" s="53">
        <v>-6028466.0099999998</v>
      </c>
      <c r="E34" s="53">
        <v>0</v>
      </c>
      <c r="F34" s="53">
        <v>1481467.96</v>
      </c>
      <c r="G34" s="53">
        <v>-7509933.9699999997</v>
      </c>
    </row>
    <row r="35" spans="1:7">
      <c r="A35">
        <f>IFERROR(IF(B35="",0,IF(VALUE(LEFT(B35,1))&gt;3,VLOOKUP(VALUE(B35),PROYECCIONES!B:D,3,FALSE),0)),1 + COUNTIF($A$2:A34,"&gt;0"))</f>
        <v>0</v>
      </c>
      <c r="B35" s="185" t="s">
        <v>600</v>
      </c>
      <c r="C35" s="185" t="s">
        <v>601</v>
      </c>
      <c r="D35" s="53">
        <v>2.3283064365386999E-10</v>
      </c>
      <c r="E35" s="53">
        <v>0</v>
      </c>
      <c r="F35" s="53">
        <v>410000.01</v>
      </c>
      <c r="G35" s="53">
        <v>-410000.01</v>
      </c>
    </row>
    <row r="36" spans="1:7">
      <c r="A36">
        <f>IFERROR(IF(B36="",0,IF(VALUE(LEFT(B36,1))&gt;3,VLOOKUP(VALUE(B36),PROYECCIONES!B:D,3,FALSE),0)),1 + COUNTIF($A$2:A35,"&gt;0"))</f>
        <v>0</v>
      </c>
      <c r="B36" s="185" t="s">
        <v>288</v>
      </c>
      <c r="C36" s="185" t="s">
        <v>240</v>
      </c>
      <c r="D36" s="53">
        <v>-1588491.73</v>
      </c>
      <c r="E36" s="53">
        <v>0</v>
      </c>
      <c r="F36" s="53">
        <v>3586916.69</v>
      </c>
      <c r="G36" s="53">
        <v>-5175408.42</v>
      </c>
    </row>
    <row r="37" spans="1:7">
      <c r="A37">
        <f>IFERROR(IF(B37="",0,IF(VALUE(LEFT(B37,1))&gt;3,VLOOKUP(VALUE(B37),PROYECCIONES!B:D,3,FALSE),0)),1 + COUNTIF($A$2:A36,"&gt;0"))</f>
        <v>0</v>
      </c>
      <c r="B37" s="185" t="s">
        <v>289</v>
      </c>
      <c r="C37" s="185" t="s">
        <v>241</v>
      </c>
      <c r="D37" s="53">
        <v>880262</v>
      </c>
      <c r="E37" s="53">
        <v>0</v>
      </c>
      <c r="F37" s="53">
        <v>0</v>
      </c>
      <c r="G37" s="53">
        <v>880262</v>
      </c>
    </row>
    <row r="38" spans="1:7">
      <c r="A38">
        <f>IFERROR(IF(B38="",0,IF(VALUE(LEFT(B38,1))&gt;3,VLOOKUP(VALUE(B38),PROYECCIONES!B:D,3,FALSE),0)),1 + COUNTIF($A$2:A37,"&gt;0"))</f>
        <v>0</v>
      </c>
      <c r="B38" s="185" t="s">
        <v>290</v>
      </c>
      <c r="C38" s="185" t="s">
        <v>242</v>
      </c>
      <c r="D38" s="53">
        <v>-880262</v>
      </c>
      <c r="E38" s="53">
        <v>0</v>
      </c>
      <c r="F38" s="53">
        <v>0</v>
      </c>
      <c r="G38" s="53">
        <v>-880262</v>
      </c>
    </row>
    <row r="39" spans="1:7">
      <c r="A39">
        <f>IFERROR(IF(B39="",0,IF(VALUE(LEFT(B39,1))&gt;3,VLOOKUP(VALUE(B39),PROYECCIONES!B:D,3,FALSE),0)),1 + COUNTIF($A$2:A38,"&gt;0"))</f>
        <v>0</v>
      </c>
      <c r="B39" s="185" t="s">
        <v>473</v>
      </c>
      <c r="C39" s="185" t="s">
        <v>474</v>
      </c>
      <c r="D39" s="53">
        <v>1653107</v>
      </c>
      <c r="E39" s="53">
        <v>0</v>
      </c>
      <c r="F39" s="53">
        <v>1653107</v>
      </c>
      <c r="G39" s="53">
        <v>0</v>
      </c>
    </row>
    <row r="40" spans="1:7">
      <c r="A40">
        <f>IFERROR(IF(B40="",0,IF(VALUE(LEFT(B40,1))&gt;3,VLOOKUP(VALUE(B40),PROYECCIONES!B:D,3,FALSE),0)),1 + COUNTIF($A$2:A39,"&gt;0"))</f>
        <v>0</v>
      </c>
      <c r="B40" s="185" t="s">
        <v>520</v>
      </c>
      <c r="C40" s="185" t="s">
        <v>229</v>
      </c>
      <c r="D40" s="53">
        <v>0</v>
      </c>
      <c r="E40" s="53">
        <v>11778692.4</v>
      </c>
      <c r="F40" s="53">
        <v>10175106.4</v>
      </c>
      <c r="G40" s="53">
        <v>1603586</v>
      </c>
    </row>
    <row r="41" spans="1:7">
      <c r="A41">
        <f>IFERROR(IF(B41="",0,IF(VALUE(LEFT(B41,1))&gt;3,VLOOKUP(VALUE(B41),PROYECCIONES!B:D,3,FALSE),0)),1 + COUNTIF($A$2:A40,"&gt;0"))</f>
        <v>0</v>
      </c>
      <c r="B41" s="185" t="s">
        <v>380</v>
      </c>
      <c r="C41" s="185" t="s">
        <v>374</v>
      </c>
      <c r="D41" s="53">
        <v>-87720410.230000004</v>
      </c>
      <c r="E41" s="53">
        <v>6360456</v>
      </c>
      <c r="F41" s="53">
        <v>30270777.77</v>
      </c>
      <c r="G41" s="53">
        <v>-111630732</v>
      </c>
    </row>
    <row r="42" spans="1:7">
      <c r="A42">
        <f>IFERROR(IF(B42="",0,IF(VALUE(LEFT(B42,1))&gt;3,VLOOKUP(VALUE(B42),PROYECCIONES!B:D,3,FALSE),0)),1 + COUNTIF($A$2:A41,"&gt;0"))</f>
        <v>0</v>
      </c>
      <c r="B42" s="185" t="s">
        <v>552</v>
      </c>
      <c r="C42" s="185" t="s">
        <v>553</v>
      </c>
      <c r="D42" s="53">
        <v>0</v>
      </c>
      <c r="E42" s="53">
        <v>3726123</v>
      </c>
      <c r="F42" s="53">
        <v>3726123</v>
      </c>
      <c r="G42" s="53">
        <v>0</v>
      </c>
    </row>
    <row r="43" spans="1:7">
      <c r="A43">
        <f>IFERROR(IF(B43="",0,IF(VALUE(LEFT(B43,1))&gt;3,VLOOKUP(VALUE(B43),PROYECCIONES!B:D,3,FALSE),0)),1 + COUNTIF($A$2:A42,"&gt;0"))</f>
        <v>0</v>
      </c>
      <c r="B43" s="185" t="s">
        <v>458</v>
      </c>
      <c r="C43" s="185" t="s">
        <v>459</v>
      </c>
      <c r="D43" s="53">
        <v>4.65661287307739E-10</v>
      </c>
      <c r="E43" s="53">
        <v>2312905</v>
      </c>
      <c r="F43" s="53">
        <v>2312905</v>
      </c>
      <c r="G43" s="53">
        <v>0</v>
      </c>
    </row>
    <row r="44" spans="1:7">
      <c r="A44">
        <f>IFERROR(IF(B44="",0,IF(VALUE(LEFT(B44,1))&gt;3,VLOOKUP(VALUE(B44),PROYECCIONES!B:D,3,FALSE),0)),1 + COUNTIF($A$2:A43,"&gt;0"))</f>
        <v>0</v>
      </c>
      <c r="B44" s="185" t="s">
        <v>291</v>
      </c>
      <c r="C44" s="185" t="s">
        <v>243</v>
      </c>
      <c r="D44" s="53">
        <v>-427500</v>
      </c>
      <c r="E44" s="53">
        <v>20768500</v>
      </c>
      <c r="F44" s="53">
        <v>26613100</v>
      </c>
      <c r="G44" s="53">
        <v>-6272100</v>
      </c>
    </row>
    <row r="45" spans="1:7">
      <c r="A45">
        <f>IFERROR(IF(B45="",0,IF(VALUE(LEFT(B45,1))&gt;3,VLOOKUP(VALUE(B45),PROYECCIONES!B:D,3,FALSE),0)),1 + COUNTIF($A$2:A44,"&gt;0"))</f>
        <v>0</v>
      </c>
      <c r="B45" s="185" t="s">
        <v>554</v>
      </c>
      <c r="C45" s="185" t="s">
        <v>555</v>
      </c>
      <c r="D45" s="53">
        <v>0</v>
      </c>
      <c r="E45" s="53">
        <v>1520330.1</v>
      </c>
      <c r="F45" s="53">
        <v>1520330.1</v>
      </c>
      <c r="G45" s="53">
        <v>0</v>
      </c>
    </row>
    <row r="46" spans="1:7">
      <c r="A46">
        <f>IFERROR(IF(B46="",0,IF(VALUE(LEFT(B46,1))&gt;3,VLOOKUP(VALUE(B46),PROYECCIONES!B:D,3,FALSE),0)),1 + COUNTIF($A$2:A45,"&gt;0"))</f>
        <v>0</v>
      </c>
      <c r="B46" s="185" t="s">
        <v>292</v>
      </c>
      <c r="C46" s="185" t="s">
        <v>244</v>
      </c>
      <c r="D46" s="53">
        <v>0</v>
      </c>
      <c r="E46" s="53">
        <v>150000</v>
      </c>
      <c r="F46" s="53">
        <v>150000</v>
      </c>
      <c r="G46" s="53">
        <v>0</v>
      </c>
    </row>
    <row r="47" spans="1:7">
      <c r="A47">
        <f>IFERROR(IF(B47="",0,IF(VALUE(LEFT(B47,1))&gt;3,VLOOKUP(VALUE(B47),PROYECCIONES!B:D,3,FALSE),0)),1 + COUNTIF($A$2:A46,"&gt;0"))</f>
        <v>0</v>
      </c>
      <c r="B47" s="185" t="s">
        <v>293</v>
      </c>
      <c r="C47" s="185" t="s">
        <v>245</v>
      </c>
      <c r="D47" s="53">
        <v>0</v>
      </c>
      <c r="E47" s="53">
        <v>12000336</v>
      </c>
      <c r="F47" s="53">
        <v>12000336</v>
      </c>
      <c r="G47" s="53">
        <v>0</v>
      </c>
    </row>
    <row r="48" spans="1:7">
      <c r="A48">
        <f>IFERROR(IF(B48="",0,IF(VALUE(LEFT(B48,1))&gt;3,VLOOKUP(VALUE(B48),PROYECCIONES!B:D,3,FALSE),0)),1 + COUNTIF($A$2:A47,"&gt;0"))</f>
        <v>0</v>
      </c>
      <c r="B48" s="185" t="s">
        <v>294</v>
      </c>
      <c r="C48" s="185" t="s">
        <v>246</v>
      </c>
      <c r="D48" s="53">
        <v>-259026</v>
      </c>
      <c r="E48" s="53">
        <v>4961657.01</v>
      </c>
      <c r="F48" s="53">
        <v>4702631.01</v>
      </c>
      <c r="G48" s="53">
        <v>0</v>
      </c>
    </row>
    <row r="49" spans="1:7">
      <c r="A49">
        <f>IFERROR(IF(B49="",0,IF(VALUE(LEFT(B49,1))&gt;3,VLOOKUP(VALUE(B49),PROYECCIONES!B:D,3,FALSE),0)),1 + COUNTIF($A$2:A48,"&gt;0"))</f>
        <v>0</v>
      </c>
      <c r="B49" s="185" t="s">
        <v>556</v>
      </c>
      <c r="C49" s="185" t="s">
        <v>557</v>
      </c>
      <c r="D49" s="53">
        <v>0</v>
      </c>
      <c r="E49" s="53">
        <v>100000</v>
      </c>
      <c r="F49" s="53">
        <v>2346077</v>
      </c>
      <c r="G49" s="53">
        <v>-2246077</v>
      </c>
    </row>
    <row r="50" spans="1:7">
      <c r="A50">
        <f>IFERROR(IF(B50="",0,IF(VALUE(LEFT(B50,1))&gt;3,VLOOKUP(VALUE(B50),PROYECCIONES!B:D,3,FALSE),0)),1 + COUNTIF($A$2:A49,"&gt;0"))</f>
        <v>0</v>
      </c>
      <c r="B50" s="185" t="s">
        <v>460</v>
      </c>
      <c r="C50" s="185" t="s">
        <v>461</v>
      </c>
      <c r="D50" s="53">
        <v>0</v>
      </c>
      <c r="E50" s="53">
        <v>8986428.8399999999</v>
      </c>
      <c r="F50" s="53">
        <v>8986428.8399999999</v>
      </c>
      <c r="G50" s="53">
        <v>0</v>
      </c>
    </row>
    <row r="51" spans="1:7">
      <c r="A51">
        <f>IFERROR(IF(B51="",0,IF(VALUE(LEFT(B51,1))&gt;3,VLOOKUP(VALUE(B51),PROYECCIONES!B:D,3,FALSE),0)),1 + COUNTIF($A$2:A50,"&gt;0"))</f>
        <v>0</v>
      </c>
      <c r="B51" s="185" t="s">
        <v>407</v>
      </c>
      <c r="C51" s="185" t="s">
        <v>408</v>
      </c>
      <c r="D51" s="53">
        <v>0</v>
      </c>
      <c r="E51" s="53">
        <v>1102439</v>
      </c>
      <c r="F51" s="53">
        <v>1102439</v>
      </c>
      <c r="G51" s="53">
        <v>0</v>
      </c>
    </row>
    <row r="52" spans="1:7">
      <c r="A52">
        <f>IFERROR(IF(B52="",0,IF(VALUE(LEFT(B52,1))&gt;3,VLOOKUP(VALUE(B52),PROYECCIONES!B:D,3,FALSE),0)),1 + COUNTIF($A$2:A51,"&gt;0"))</f>
        <v>0</v>
      </c>
      <c r="B52" s="185" t="s">
        <v>410</v>
      </c>
      <c r="C52" s="185" t="s">
        <v>411</v>
      </c>
      <c r="D52" s="53">
        <v>0</v>
      </c>
      <c r="E52" s="53">
        <v>115242</v>
      </c>
      <c r="F52" s="53">
        <v>115242</v>
      </c>
      <c r="G52" s="53">
        <v>0</v>
      </c>
    </row>
    <row r="53" spans="1:7">
      <c r="A53">
        <f>IFERROR(IF(B53="",0,IF(VALUE(LEFT(B53,1))&gt;3,VLOOKUP(VALUE(B53),PROYECCIONES!B:D,3,FALSE),0)),1 + COUNTIF($A$2:A52,"&gt;0"))</f>
        <v>0</v>
      </c>
      <c r="B53" s="185" t="s">
        <v>295</v>
      </c>
      <c r="C53" s="185" t="s">
        <v>247</v>
      </c>
      <c r="D53" s="53">
        <v>0</v>
      </c>
      <c r="E53" s="53">
        <v>12632291.57</v>
      </c>
      <c r="F53" s="53">
        <v>15074526.949999999</v>
      </c>
      <c r="G53" s="53">
        <v>-2442235.38</v>
      </c>
    </row>
    <row r="54" spans="1:7">
      <c r="A54">
        <f>IFERROR(IF(B54="",0,IF(VALUE(LEFT(B54,1))&gt;3,VLOOKUP(VALUE(B54),PROYECCIONES!B:D,3,FALSE),0)),1 + COUNTIF($A$2:A53,"&gt;0"))</f>
        <v>0</v>
      </c>
      <c r="B54" s="185" t="s">
        <v>602</v>
      </c>
      <c r="C54" s="185" t="s">
        <v>603</v>
      </c>
      <c r="D54" s="53">
        <v>0</v>
      </c>
      <c r="E54" s="53">
        <v>388901</v>
      </c>
      <c r="F54" s="53">
        <v>388901</v>
      </c>
      <c r="G54" s="53">
        <v>0</v>
      </c>
    </row>
    <row r="55" spans="1:7">
      <c r="A55">
        <f>IFERROR(IF(B55="",0,IF(VALUE(LEFT(B55,1))&gt;3,VLOOKUP(VALUE(B55),PROYECCIONES!B:D,3,FALSE),0)),1 + COUNTIF($A$2:A54,"&gt;0"))</f>
        <v>0</v>
      </c>
      <c r="B55" s="185" t="s">
        <v>558</v>
      </c>
      <c r="C55" s="185" t="s">
        <v>559</v>
      </c>
      <c r="D55" s="53">
        <v>0</v>
      </c>
      <c r="E55" s="53">
        <v>0</v>
      </c>
      <c r="F55" s="53">
        <v>12802400</v>
      </c>
      <c r="G55" s="53">
        <v>-12802400</v>
      </c>
    </row>
    <row r="56" spans="1:7">
      <c r="A56">
        <f>IFERROR(IF(B56="",0,IF(VALUE(LEFT(B56,1))&gt;3,VLOOKUP(VALUE(B56),PROYECCIONES!B:D,3,FALSE),0)),1 + COUNTIF($A$2:A55,"&gt;0"))</f>
        <v>0</v>
      </c>
      <c r="B56" s="185" t="s">
        <v>86</v>
      </c>
      <c r="C56" s="185" t="s">
        <v>248</v>
      </c>
      <c r="D56" s="53">
        <v>-118268.9</v>
      </c>
      <c r="E56" s="53">
        <v>507703.88</v>
      </c>
      <c r="F56" s="53">
        <v>493451.45</v>
      </c>
      <c r="G56" s="53">
        <v>-104016.47</v>
      </c>
    </row>
    <row r="57" spans="1:7">
      <c r="A57">
        <f>IFERROR(IF(B57="",0,IF(VALUE(LEFT(B57,1))&gt;3,VLOOKUP(VALUE(B57),PROYECCIONES!B:D,3,FALSE),0)),1 + COUNTIF($A$2:A56,"&gt;0"))</f>
        <v>0</v>
      </c>
      <c r="B57" s="185" t="s">
        <v>538</v>
      </c>
      <c r="C57" s="185" t="s">
        <v>539</v>
      </c>
      <c r="D57" s="53">
        <v>0</v>
      </c>
      <c r="E57" s="53">
        <v>6148.68</v>
      </c>
      <c r="F57" s="53">
        <v>14148.68</v>
      </c>
      <c r="G57" s="53">
        <v>-8000</v>
      </c>
    </row>
    <row r="58" spans="1:7">
      <c r="A58">
        <f>IFERROR(IF(B58="",0,IF(VALUE(LEFT(B58,1))&gt;3,VLOOKUP(VALUE(B58),PROYECCIONES!B:D,3,FALSE),0)),1 + COUNTIF($A$2:A57,"&gt;0"))</f>
        <v>0</v>
      </c>
      <c r="B58" s="185" t="s">
        <v>87</v>
      </c>
      <c r="C58" s="185" t="s">
        <v>483</v>
      </c>
      <c r="D58" s="53">
        <v>0</v>
      </c>
      <c r="E58" s="53">
        <v>21600</v>
      </c>
      <c r="F58" s="53">
        <v>21600</v>
      </c>
      <c r="G58" s="53">
        <v>0</v>
      </c>
    </row>
    <row r="59" spans="1:7">
      <c r="A59">
        <f>IFERROR(IF(B59="",0,IF(VALUE(LEFT(B59,1))&gt;3,VLOOKUP(VALUE(B59),PROYECCIONES!B:D,3,FALSE),0)),1 + COUNTIF($A$2:A58,"&gt;0"))</f>
        <v>0</v>
      </c>
      <c r="B59" s="185" t="s">
        <v>362</v>
      </c>
      <c r="C59" s="185" t="s">
        <v>592</v>
      </c>
      <c r="D59" s="53">
        <v>-20300</v>
      </c>
      <c r="E59" s="53">
        <v>62790</v>
      </c>
      <c r="F59" s="53">
        <v>42490</v>
      </c>
      <c r="G59" s="53">
        <v>0</v>
      </c>
    </row>
    <row r="60" spans="1:7">
      <c r="A60">
        <f>IFERROR(IF(B60="",0,IF(VALUE(LEFT(B60,1))&gt;3,VLOOKUP(VALUE(B60),PROYECCIONES!B:D,3,FALSE),0)),1 + COUNTIF($A$2:A59,"&gt;0"))</f>
        <v>0</v>
      </c>
      <c r="B60" s="185" t="s">
        <v>88</v>
      </c>
      <c r="C60" s="185" t="s">
        <v>585</v>
      </c>
      <c r="D60" s="53">
        <v>-74424.880000000107</v>
      </c>
      <c r="E60" s="53">
        <v>74424.59</v>
      </c>
      <c r="F60" s="53">
        <v>43586.35</v>
      </c>
      <c r="G60" s="53">
        <v>-43586.64</v>
      </c>
    </row>
    <row r="61" spans="1:7">
      <c r="A61">
        <f>IFERROR(IF(B61="",0,IF(VALUE(LEFT(B61,1))&gt;3,VLOOKUP(VALUE(B61),PROYECCIONES!B:D,3,FALSE),0)),1 + COUNTIF($A$2:A60,"&gt;0"))</f>
        <v>0</v>
      </c>
      <c r="B61" s="185" t="s">
        <v>413</v>
      </c>
      <c r="C61" s="185" t="s">
        <v>586</v>
      </c>
      <c r="D61" s="53">
        <v>0</v>
      </c>
      <c r="E61" s="53">
        <v>387429.42</v>
      </c>
      <c r="F61" s="53">
        <v>672587.22</v>
      </c>
      <c r="G61" s="53">
        <v>-285157.8</v>
      </c>
    </row>
    <row r="62" spans="1:7">
      <c r="A62">
        <f>IFERROR(IF(B62="",0,IF(VALUE(LEFT(B62,1))&gt;3,VLOOKUP(VALUE(B62),PROYECCIONES!B:D,3,FALSE),0)),1 + COUNTIF($A$2:A61,"&gt;0"))</f>
        <v>0</v>
      </c>
      <c r="B62" s="185" t="s">
        <v>296</v>
      </c>
      <c r="C62" s="185" t="s">
        <v>249</v>
      </c>
      <c r="D62" s="53">
        <v>-83618</v>
      </c>
      <c r="E62" s="53">
        <v>350496</v>
      </c>
      <c r="F62" s="53">
        <v>347778.16</v>
      </c>
      <c r="G62" s="53">
        <v>-80900.160000000105</v>
      </c>
    </row>
    <row r="63" spans="1:7">
      <c r="A63">
        <f>IFERROR(IF(B63="",0,IF(VALUE(LEFT(B63,1))&gt;3,VLOOKUP(VALUE(B63),PROYECCIONES!B:D,3,FALSE),0)),1 + COUNTIF($A$2:A62,"&gt;0"))</f>
        <v>0</v>
      </c>
      <c r="B63" s="185" t="s">
        <v>462</v>
      </c>
      <c r="C63" s="185" t="s">
        <v>463</v>
      </c>
      <c r="D63" s="53">
        <v>0</v>
      </c>
      <c r="E63" s="53">
        <v>146774.5</v>
      </c>
      <c r="F63" s="53">
        <v>146774.5</v>
      </c>
      <c r="G63" s="53">
        <v>0</v>
      </c>
    </row>
    <row r="64" spans="1:7">
      <c r="A64">
        <f>IFERROR(IF(B64="",0,IF(VALUE(LEFT(B64,1))&gt;3,VLOOKUP(VALUE(B64),PROYECCIONES!B:D,3,FALSE),0)),1 + COUNTIF($A$2:A63,"&gt;0"))</f>
        <v>0</v>
      </c>
      <c r="B64" s="185" t="s">
        <v>297</v>
      </c>
      <c r="C64" s="185" t="s">
        <v>250</v>
      </c>
      <c r="D64" s="53">
        <v>-1027152</v>
      </c>
      <c r="E64" s="53">
        <v>4166595</v>
      </c>
      <c r="F64" s="53">
        <v>3515275</v>
      </c>
      <c r="G64" s="53">
        <v>-375832</v>
      </c>
    </row>
    <row r="65" spans="1:7">
      <c r="A65">
        <f>IFERROR(IF(B65="",0,IF(VALUE(LEFT(B65,1))&gt;3,VLOOKUP(VALUE(B65),PROYECCIONES!B:D,3,FALSE),0)),1 + COUNTIF($A$2:A64,"&gt;0"))</f>
        <v>0</v>
      </c>
      <c r="B65" s="185" t="s">
        <v>363</v>
      </c>
      <c r="C65" s="185" t="s">
        <v>437</v>
      </c>
      <c r="D65" s="53">
        <v>-440000</v>
      </c>
      <c r="E65" s="53">
        <v>1812800</v>
      </c>
      <c r="F65" s="53">
        <v>1610400</v>
      </c>
      <c r="G65" s="53">
        <v>-237600</v>
      </c>
    </row>
    <row r="66" spans="1:7">
      <c r="A66">
        <f>IFERROR(IF(B66="",0,IF(VALUE(LEFT(B66,1))&gt;3,VLOOKUP(VALUE(B66),PROYECCIONES!B:D,3,FALSE),0)),1 + COUNTIF($A$2:A65,"&gt;0"))</f>
        <v>0</v>
      </c>
      <c r="B66" s="185" t="s">
        <v>438</v>
      </c>
      <c r="C66" s="185" t="s">
        <v>439</v>
      </c>
      <c r="D66" s="53">
        <v>0</v>
      </c>
      <c r="E66" s="53">
        <v>399000</v>
      </c>
      <c r="F66" s="53">
        <v>552900</v>
      </c>
      <c r="G66" s="53">
        <v>-153900</v>
      </c>
    </row>
    <row r="67" spans="1:7">
      <c r="A67">
        <f>IFERROR(IF(B67="",0,IF(VALUE(LEFT(B67,1))&gt;3,VLOOKUP(VALUE(B67),PROYECCIONES!B:D,3,FALSE),0)),1 + COUNTIF($A$2:A66,"&gt;0"))</f>
        <v>0</v>
      </c>
      <c r="B67" s="185" t="s">
        <v>381</v>
      </c>
      <c r="C67" s="185" t="s">
        <v>382</v>
      </c>
      <c r="D67" s="53">
        <v>0</v>
      </c>
      <c r="E67" s="53">
        <v>299253.75</v>
      </c>
      <c r="F67" s="53">
        <v>694169.1</v>
      </c>
      <c r="G67" s="53">
        <v>-394915.35</v>
      </c>
    </row>
    <row r="68" spans="1:7">
      <c r="A68">
        <f>IFERROR(IF(B68="",0,IF(VALUE(LEFT(B68,1))&gt;3,VLOOKUP(VALUE(B68),PROYECCIONES!B:D,3,FALSE),0)),1 + COUNTIF($A$2:A67,"&gt;0"))</f>
        <v>0</v>
      </c>
      <c r="B68" s="185" t="s">
        <v>298</v>
      </c>
      <c r="C68" s="185" t="s">
        <v>251</v>
      </c>
      <c r="D68" s="53">
        <v>-53457.23</v>
      </c>
      <c r="E68" s="53">
        <v>151411.35</v>
      </c>
      <c r="F68" s="53">
        <v>207979.8</v>
      </c>
      <c r="G68" s="53">
        <v>-110025.68</v>
      </c>
    </row>
    <row r="69" spans="1:7">
      <c r="A69">
        <f>IFERROR(IF(B69="",0,IF(VALUE(LEFT(B69,1))&gt;3,VLOOKUP(VALUE(B69),PROYECCIONES!B:D,3,FALSE),0)),1 + COUNTIF($A$2:A68,"&gt;0"))</f>
        <v>0</v>
      </c>
      <c r="B69" s="185" t="s">
        <v>383</v>
      </c>
      <c r="C69" s="185" t="s">
        <v>375</v>
      </c>
      <c r="D69" s="53">
        <v>0</v>
      </c>
      <c r="E69" s="53">
        <v>10337.799999999999</v>
      </c>
      <c r="F69" s="53">
        <v>10337.799999999999</v>
      </c>
      <c r="G69" s="53">
        <v>0</v>
      </c>
    </row>
    <row r="70" spans="1:7">
      <c r="A70">
        <f>IFERROR(IF(B70="",0,IF(VALUE(LEFT(B70,1))&gt;3,VLOOKUP(VALUE(B70),PROYECCIONES!B:D,3,FALSE),0)),1 + COUNTIF($A$2:A69,"&gt;0"))</f>
        <v>0</v>
      </c>
      <c r="B70" s="185" t="s">
        <v>364</v>
      </c>
      <c r="C70" s="185" t="s">
        <v>365</v>
      </c>
      <c r="D70" s="53">
        <v>-3828</v>
      </c>
      <c r="E70" s="53">
        <v>25085.279999999999</v>
      </c>
      <c r="F70" s="53">
        <v>26065.38</v>
      </c>
      <c r="G70" s="53">
        <v>-4808.1000000000104</v>
      </c>
    </row>
    <row r="71" spans="1:7">
      <c r="A71">
        <f>IFERROR(IF(B71="",0,IF(VALUE(LEFT(B71,1))&gt;3,VLOOKUP(VALUE(B71),PROYECCIONES!B:D,3,FALSE),0)),1 + COUNTIF($A$2:A70,"&gt;0"))</f>
        <v>0</v>
      </c>
      <c r="B71" s="185" t="s">
        <v>464</v>
      </c>
      <c r="C71" s="185" t="s">
        <v>465</v>
      </c>
      <c r="D71" s="53">
        <v>0</v>
      </c>
      <c r="E71" s="53">
        <v>15957.65</v>
      </c>
      <c r="F71" s="53">
        <v>28368.240000000002</v>
      </c>
      <c r="G71" s="53">
        <v>-12410.59</v>
      </c>
    </row>
    <row r="72" spans="1:7">
      <c r="A72">
        <f>IFERROR(IF(B72="",0,IF(VALUE(LEFT(B72,1))&gt;3,VLOOKUP(VALUE(B72),PROYECCIONES!B:D,3,FALSE),0)),1 + COUNTIF($A$2:A71,"&gt;0"))</f>
        <v>0</v>
      </c>
      <c r="B72" s="185" t="s">
        <v>299</v>
      </c>
      <c r="C72" s="185" t="s">
        <v>252</v>
      </c>
      <c r="D72" s="53">
        <v>-803998</v>
      </c>
      <c r="E72" s="53">
        <v>4220700</v>
      </c>
      <c r="F72" s="53">
        <v>4207118</v>
      </c>
      <c r="G72" s="53">
        <v>-790416</v>
      </c>
    </row>
    <row r="73" spans="1:7">
      <c r="A73">
        <f>IFERROR(IF(B73="",0,IF(VALUE(LEFT(B73,1))&gt;3,VLOOKUP(VALUE(B73),PROYECCIONES!B:D,3,FALSE),0)),1 + COUNTIF($A$2:A72,"&gt;0"))</f>
        <v>0</v>
      </c>
      <c r="B73" s="185" t="s">
        <v>300</v>
      </c>
      <c r="C73" s="185" t="s">
        <v>253</v>
      </c>
      <c r="D73" s="53">
        <v>-72817</v>
      </c>
      <c r="E73" s="53">
        <v>507488</v>
      </c>
      <c r="F73" s="53">
        <v>562901</v>
      </c>
      <c r="G73" s="53">
        <v>-128230</v>
      </c>
    </row>
    <row r="74" spans="1:7">
      <c r="A74">
        <f>IFERROR(IF(B74="",0,IF(VALUE(LEFT(B74,1))&gt;3,VLOOKUP(VALUE(B74),PROYECCIONES!B:D,3,FALSE),0)),1 + COUNTIF($A$2:A73,"&gt;0"))</f>
        <v>0</v>
      </c>
      <c r="B74" s="185" t="s">
        <v>301</v>
      </c>
      <c r="C74" s="185" t="s">
        <v>254</v>
      </c>
      <c r="D74" s="53">
        <v>-557999</v>
      </c>
      <c r="E74" s="53">
        <v>4220700</v>
      </c>
      <c r="F74" s="53">
        <v>4313400</v>
      </c>
      <c r="G74" s="53">
        <v>-650699</v>
      </c>
    </row>
    <row r="75" spans="1:7">
      <c r="A75">
        <f>IFERROR(IF(B75="",0,IF(VALUE(LEFT(B75,1))&gt;3,VLOOKUP(VALUE(B75),PROYECCIONES!B:D,3,FALSE),0)),1 + COUNTIF($A$2:A74,"&gt;0"))</f>
        <v>0</v>
      </c>
      <c r="B75" s="185" t="s">
        <v>302</v>
      </c>
      <c r="C75" s="185" t="s">
        <v>255</v>
      </c>
      <c r="D75" s="53">
        <v>-5483064</v>
      </c>
      <c r="E75" s="53">
        <v>17051700</v>
      </c>
      <c r="F75" s="53">
        <v>17216468</v>
      </c>
      <c r="G75" s="53">
        <v>-5647832</v>
      </c>
    </row>
    <row r="76" spans="1:7">
      <c r="A76">
        <f>IFERROR(IF(B76="",0,IF(VALUE(LEFT(B76,1))&gt;3,VLOOKUP(VALUE(B76),PROYECCIONES!B:D,3,FALSE),0)),1 + COUNTIF($A$2:A75,"&gt;0"))</f>
        <v>0</v>
      </c>
      <c r="B76" s="185" t="s">
        <v>440</v>
      </c>
      <c r="C76" s="185" t="s">
        <v>441</v>
      </c>
      <c r="D76" s="53">
        <v>-28977138</v>
      </c>
      <c r="E76" s="53">
        <v>28977138</v>
      </c>
      <c r="F76" s="53">
        <v>0</v>
      </c>
      <c r="G76" s="53">
        <v>0</v>
      </c>
    </row>
    <row r="77" spans="1:7">
      <c r="A77">
        <f>IFERROR(IF(B77="",0,IF(VALUE(LEFT(B77,1))&gt;3,VLOOKUP(VALUE(B77),PROYECCIONES!B:D,3,FALSE),0)),1 + COUNTIF($A$2:A76,"&gt;0"))</f>
        <v>0</v>
      </c>
      <c r="B77" s="185" t="s">
        <v>303</v>
      </c>
      <c r="C77" s="185" t="s">
        <v>256</v>
      </c>
      <c r="D77" s="53">
        <v>-3.5762786865234401E-7</v>
      </c>
      <c r="E77" s="53">
        <v>44921114.039999999</v>
      </c>
      <c r="F77" s="53">
        <v>83487874.730000004</v>
      </c>
      <c r="G77" s="53">
        <v>-38566760.6900004</v>
      </c>
    </row>
    <row r="78" spans="1:7">
      <c r="A78">
        <f>IFERROR(IF(B78="",0,IF(VALUE(LEFT(B78,1))&gt;3,VLOOKUP(VALUE(B78),PROYECCIONES!B:D,3,FALSE),0)),1 + COUNTIF($A$2:A77,"&gt;0"))</f>
        <v>0</v>
      </c>
      <c r="B78" s="185" t="s">
        <v>304</v>
      </c>
      <c r="C78" s="185" t="s">
        <v>257</v>
      </c>
      <c r="D78" s="53">
        <v>5.5879354476928703E-9</v>
      </c>
      <c r="E78" s="53">
        <v>3866615.77</v>
      </c>
      <c r="F78" s="53">
        <v>2058340.24</v>
      </c>
      <c r="G78" s="53">
        <v>1808275.53</v>
      </c>
    </row>
    <row r="79" spans="1:7">
      <c r="A79">
        <f>IFERROR(IF(B79="",0,IF(VALUE(LEFT(B79,1))&gt;3,VLOOKUP(VALUE(B79),PROYECCIONES!B:D,3,FALSE),0)),1 + COUNTIF($A$2:A78,"&gt;0"))</f>
        <v>0</v>
      </c>
      <c r="B79" s="185" t="s">
        <v>305</v>
      </c>
      <c r="C79" s="185" t="s">
        <v>258</v>
      </c>
      <c r="D79" s="53">
        <v>7.4505805969238298E-9</v>
      </c>
      <c r="E79" s="53">
        <v>8831695.3900000006</v>
      </c>
      <c r="F79" s="53">
        <v>4005287.99</v>
      </c>
      <c r="G79" s="53">
        <v>4826407.4000000097</v>
      </c>
    </row>
    <row r="80" spans="1:7">
      <c r="A80">
        <f>IFERROR(IF(B80="",0,IF(VALUE(LEFT(B80,1))&gt;3,VLOOKUP(VALUE(B80),PROYECCIONES!B:D,3,FALSE),0)),1 + COUNTIF($A$2:A79,"&gt;0"))</f>
        <v>0</v>
      </c>
      <c r="B80" s="185" t="s">
        <v>384</v>
      </c>
      <c r="C80" s="185" t="s">
        <v>385</v>
      </c>
      <c r="D80" s="53">
        <v>0</v>
      </c>
      <c r="E80" s="53">
        <v>694169.1</v>
      </c>
      <c r="F80" s="53">
        <v>299253.75</v>
      </c>
      <c r="G80" s="53">
        <v>394915.35</v>
      </c>
    </row>
    <row r="81" spans="1:7">
      <c r="A81">
        <f>IFERROR(IF(B81="",0,IF(VALUE(LEFT(B81,1))&gt;3,VLOOKUP(VALUE(B81),PROYECCIONES!B:D,3,FALSE),0)),1 + COUNTIF($A$2:A80,"&gt;0"))</f>
        <v>0</v>
      </c>
      <c r="B81" s="185" t="s">
        <v>576</v>
      </c>
      <c r="C81" s="185" t="s">
        <v>577</v>
      </c>
      <c r="D81" s="53">
        <v>1.8626451492309599E-9</v>
      </c>
      <c r="E81" s="53">
        <v>342000</v>
      </c>
      <c r="F81" s="53">
        <v>0</v>
      </c>
      <c r="G81" s="53">
        <v>342000.00000000198</v>
      </c>
    </row>
    <row r="82" spans="1:7">
      <c r="A82">
        <f>IFERROR(IF(B82="",0,IF(VALUE(LEFT(B82,1))&gt;3,VLOOKUP(VALUE(B82),PROYECCIONES!B:D,3,FALSE),0)),1 + COUNTIF($A$2:A81,"&gt;0"))</f>
        <v>0</v>
      </c>
      <c r="B82" s="185" t="s">
        <v>475</v>
      </c>
      <c r="C82" s="185" t="s">
        <v>476</v>
      </c>
      <c r="D82" s="53">
        <v>-35410863.340000004</v>
      </c>
      <c r="E82" s="53">
        <v>72641708.400000006</v>
      </c>
      <c r="F82" s="53">
        <v>37230845.060000002</v>
      </c>
      <c r="G82" s="53">
        <v>-5.9604644775390599E-8</v>
      </c>
    </row>
    <row r="83" spans="1:7">
      <c r="A83">
        <f>IFERROR(IF(B83="",0,IF(VALUE(LEFT(B83,1))&gt;3,VLOOKUP(VALUE(B83),PROYECCIONES!B:D,3,FALSE),0)),1 + COUNTIF($A$2:A82,"&gt;0"))</f>
        <v>0</v>
      </c>
      <c r="B83" s="185" t="s">
        <v>306</v>
      </c>
      <c r="C83" s="185" t="s">
        <v>89</v>
      </c>
      <c r="D83" s="53">
        <v>-1786000</v>
      </c>
      <c r="E83" s="53">
        <v>120937789</v>
      </c>
      <c r="F83" s="53">
        <v>134262933</v>
      </c>
      <c r="G83" s="53">
        <v>-15111144</v>
      </c>
    </row>
    <row r="84" spans="1:7">
      <c r="A84">
        <f>IFERROR(IF(B84="",0,IF(VALUE(LEFT(B84,1))&gt;3,VLOOKUP(VALUE(B84),PROYECCIONES!B:D,3,FALSE),0)),1 + COUNTIF($A$2:A83,"&gt;0"))</f>
        <v>0</v>
      </c>
      <c r="B84" s="185" t="s">
        <v>307</v>
      </c>
      <c r="C84" s="185" t="s">
        <v>259</v>
      </c>
      <c r="D84" s="53">
        <v>-14595603</v>
      </c>
      <c r="E84" s="53">
        <v>14595603</v>
      </c>
      <c r="F84" s="53">
        <v>0</v>
      </c>
      <c r="G84" s="53">
        <v>0</v>
      </c>
    </row>
    <row r="85" spans="1:7">
      <c r="A85">
        <f>IFERROR(IF(B85="",0,IF(VALUE(LEFT(B85,1))&gt;3,VLOOKUP(VALUE(B85),PROYECCIONES!B:D,3,FALSE),0)),1 + COUNTIF($A$2:A84,"&gt;0"))</f>
        <v>0</v>
      </c>
      <c r="B85" s="185" t="s">
        <v>308</v>
      </c>
      <c r="C85" s="185" t="s">
        <v>260</v>
      </c>
      <c r="D85" s="53">
        <v>-1568734</v>
      </c>
      <c r="E85" s="53">
        <v>1568734</v>
      </c>
      <c r="F85" s="53">
        <v>0</v>
      </c>
      <c r="G85" s="53">
        <v>0</v>
      </c>
    </row>
    <row r="86" spans="1:7">
      <c r="A86">
        <f>IFERROR(IF(B86="",0,IF(VALUE(LEFT(B86,1))&gt;3,VLOOKUP(VALUE(B86),PROYECCIONES!B:D,3,FALSE),0)),1 + COUNTIF($A$2:A85,"&gt;0"))</f>
        <v>0</v>
      </c>
      <c r="B86" s="185" t="s">
        <v>578</v>
      </c>
      <c r="C86" s="185" t="s">
        <v>579</v>
      </c>
      <c r="D86" s="53">
        <v>0</v>
      </c>
      <c r="E86" s="53">
        <v>8021734</v>
      </c>
      <c r="F86" s="53">
        <v>8021734</v>
      </c>
      <c r="G86" s="53">
        <v>0</v>
      </c>
    </row>
    <row r="87" spans="1:7">
      <c r="A87">
        <f>IFERROR(IF(B87="",0,IF(VALUE(LEFT(B87,1))&gt;3,VLOOKUP(VALUE(B87),PROYECCIONES!B:D,3,FALSE),0)),1 + COUNTIF($A$2:A86,"&gt;0"))</f>
        <v>0</v>
      </c>
      <c r="B87" s="185" t="s">
        <v>446</v>
      </c>
      <c r="C87" s="185" t="s">
        <v>447</v>
      </c>
      <c r="D87" s="53">
        <v>0</v>
      </c>
      <c r="E87" s="53">
        <v>0</v>
      </c>
      <c r="F87" s="53">
        <v>9355803</v>
      </c>
      <c r="G87" s="53">
        <v>-9355803</v>
      </c>
    </row>
    <row r="88" spans="1:7">
      <c r="A88">
        <f>IFERROR(IF(B88="",0,IF(VALUE(LEFT(B88,1))&gt;3,VLOOKUP(VALUE(B88),PROYECCIONES!B:D,3,FALSE),0)),1 + COUNTIF($A$2:A87,"&gt;0"))</f>
        <v>0</v>
      </c>
      <c r="B88" s="185" t="s">
        <v>448</v>
      </c>
      <c r="C88" s="185" t="s">
        <v>449</v>
      </c>
      <c r="D88" s="53">
        <v>0</v>
      </c>
      <c r="E88" s="53">
        <v>0</v>
      </c>
      <c r="F88" s="53">
        <v>1122705</v>
      </c>
      <c r="G88" s="53">
        <v>-1122705</v>
      </c>
    </row>
    <row r="89" spans="1:7">
      <c r="A89">
        <f>IFERROR(IF(B89="",0,IF(VALUE(LEFT(B89,1))&gt;3,VLOOKUP(VALUE(B89),PROYECCIONES!B:D,3,FALSE),0)),1 + COUNTIF($A$2:A88,"&gt;0"))</f>
        <v>0</v>
      </c>
      <c r="B89" s="185" t="s">
        <v>450</v>
      </c>
      <c r="C89" s="185" t="s">
        <v>451</v>
      </c>
      <c r="D89" s="53">
        <v>0</v>
      </c>
      <c r="E89" s="53">
        <v>0</v>
      </c>
      <c r="F89" s="53">
        <v>4496261</v>
      </c>
      <c r="G89" s="53">
        <v>-4496261</v>
      </c>
    </row>
    <row r="90" spans="1:7">
      <c r="A90">
        <f>IFERROR(IF(B90="",0,IF(VALUE(LEFT(B90,1))&gt;3,VLOOKUP(VALUE(B90),PROYECCIONES!B:D,3,FALSE),0)),1 + COUNTIF($A$2:A89,"&gt;0"))</f>
        <v>0</v>
      </c>
      <c r="B90" s="185" t="s">
        <v>452</v>
      </c>
      <c r="C90" s="185" t="s">
        <v>453</v>
      </c>
      <c r="D90" s="53">
        <v>0</v>
      </c>
      <c r="E90" s="53">
        <v>8021734</v>
      </c>
      <c r="F90" s="53">
        <v>7987814</v>
      </c>
      <c r="G90" s="53">
        <v>33920</v>
      </c>
    </row>
    <row r="91" spans="1:7">
      <c r="A91">
        <f>IFERROR(IF(B91="",0,IF(VALUE(LEFT(B91,1))&gt;3,VLOOKUP(VALUE(B91),PROYECCIONES!B:D,3,FALSE),0)),1 + COUNTIF($A$2:A90,"&gt;0"))</f>
        <v>0</v>
      </c>
      <c r="B91" s="185" t="s">
        <v>593</v>
      </c>
      <c r="C91" s="185" t="s">
        <v>594</v>
      </c>
      <c r="D91" s="53">
        <v>0</v>
      </c>
      <c r="E91" s="53">
        <v>26977138</v>
      </c>
      <c r="F91" s="53">
        <v>26977138</v>
      </c>
      <c r="G91" s="53">
        <v>0</v>
      </c>
    </row>
    <row r="92" spans="1:7">
      <c r="A92">
        <f>IFERROR(IF(B92="",0,IF(VALUE(LEFT(B92,1))&gt;3,VLOOKUP(VALUE(B92),PROYECCIONES!B:D,3,FALSE),0)),1 + COUNTIF($A$2:A91,"&gt;0"))</f>
        <v>0</v>
      </c>
      <c r="B92" s="185" t="s">
        <v>477</v>
      </c>
      <c r="C92" s="185" t="s">
        <v>478</v>
      </c>
      <c r="D92" s="53">
        <v>-3778917.1</v>
      </c>
      <c r="E92" s="53">
        <v>3778917.1</v>
      </c>
      <c r="F92" s="53">
        <v>0</v>
      </c>
      <c r="G92" s="53">
        <v>0</v>
      </c>
    </row>
    <row r="93" spans="1:7">
      <c r="A93">
        <f>IFERROR(IF(B93="",0,IF(VALUE(LEFT(B93,1))&gt;3,VLOOKUP(VALUE(B93),PROYECCIONES!B:D,3,FALSE),0)),1 + COUNTIF($A$2:A92,"&gt;0"))</f>
        <v>0</v>
      </c>
      <c r="B93" s="185" t="s">
        <v>479</v>
      </c>
      <c r="C93" s="185" t="s">
        <v>480</v>
      </c>
      <c r="D93" s="53">
        <v>-180390</v>
      </c>
      <c r="E93" s="53">
        <v>180390</v>
      </c>
      <c r="F93" s="53">
        <v>0</v>
      </c>
      <c r="G93" s="53">
        <v>0</v>
      </c>
    </row>
    <row r="94" spans="1:7">
      <c r="A94">
        <f>IFERROR(IF(B94="",0,IF(VALUE(LEFT(B94,1))&gt;3,VLOOKUP(VALUE(B94),PROYECCIONES!B:D,3,FALSE),0)),1 + COUNTIF($A$2:A93,"&gt;0"))</f>
        <v>0</v>
      </c>
      <c r="B94" s="185" t="s">
        <v>587</v>
      </c>
      <c r="C94" s="185" t="s">
        <v>588</v>
      </c>
      <c r="D94" s="53">
        <v>0</v>
      </c>
      <c r="E94" s="53">
        <v>0</v>
      </c>
      <c r="F94" s="53">
        <v>107913</v>
      </c>
      <c r="G94" s="53">
        <v>-107913</v>
      </c>
    </row>
    <row r="95" spans="1:7">
      <c r="A95">
        <f>IFERROR(IF(B95="",0,IF(VALUE(LEFT(B95,1))&gt;3,VLOOKUP(VALUE(B95),PROYECCIONES!B:D,3,FALSE),0)),1 + COUNTIF($A$2:A94,"&gt;0"))</f>
        <v>0</v>
      </c>
      <c r="B95" s="185" t="s">
        <v>309</v>
      </c>
      <c r="C95" s="185" t="s">
        <v>261</v>
      </c>
      <c r="D95" s="53">
        <v>-100000000</v>
      </c>
      <c r="E95" s="53">
        <v>0</v>
      </c>
      <c r="F95" s="53">
        <v>0</v>
      </c>
      <c r="G95" s="53">
        <v>-100000000</v>
      </c>
    </row>
    <row r="96" spans="1:7">
      <c r="A96">
        <f>IFERROR(IF(B96="",0,IF(VALUE(LEFT(B96,1))&gt;3,VLOOKUP(VALUE(B96),PROYECCIONES!B:D,3,FALSE),0)),1 + COUNTIF($A$2:A95,"&gt;0"))</f>
        <v>0</v>
      </c>
      <c r="B96" s="185" t="s">
        <v>310</v>
      </c>
      <c r="C96" s="185" t="s">
        <v>262</v>
      </c>
      <c r="D96" s="53">
        <v>69000000</v>
      </c>
      <c r="E96" s="53">
        <v>0</v>
      </c>
      <c r="F96" s="53">
        <v>0</v>
      </c>
      <c r="G96" s="53">
        <v>69000000</v>
      </c>
    </row>
    <row r="97" spans="1:7">
      <c r="A97">
        <f>IFERROR(IF(B97="",0,IF(VALUE(LEFT(B97,1))&gt;3,VLOOKUP(VALUE(B97),PROYECCIONES!B:D,3,FALSE),0)),1 + COUNTIF($A$2:A96,"&gt;0"))</f>
        <v>0</v>
      </c>
      <c r="B97" s="185" t="s">
        <v>481</v>
      </c>
      <c r="C97" s="185" t="s">
        <v>482</v>
      </c>
      <c r="D97" s="53">
        <v>-41626840.030000001</v>
      </c>
      <c r="E97" s="53">
        <v>41626840.030000001</v>
      </c>
      <c r="F97" s="53">
        <v>0</v>
      </c>
      <c r="G97" s="53">
        <v>0</v>
      </c>
    </row>
    <row r="98" spans="1:7">
      <c r="A98">
        <f>IFERROR(IF(B98="",0,IF(VALUE(LEFT(B98,1))&gt;3,VLOOKUP(VALUE(B98),PROYECCIONES!B:D,3,FALSE),0)),1 + COUNTIF($A$2:A97,"&gt;0"))</f>
        <v>0</v>
      </c>
      <c r="B98" s="185" t="s">
        <v>521</v>
      </c>
      <c r="C98" s="185" t="s">
        <v>522</v>
      </c>
      <c r="D98" s="53">
        <v>0</v>
      </c>
      <c r="E98" s="53">
        <v>22802400</v>
      </c>
      <c r="F98" s="53">
        <v>121913000</v>
      </c>
      <c r="G98" s="53">
        <v>-99110600</v>
      </c>
    </row>
    <row r="99" spans="1:7">
      <c r="A99">
        <f>IFERROR(IF(B99="",0,IF(VALUE(LEFT(B99,1))&gt;3,VLOOKUP(VALUE(B99),PROYECCIONES!B:D,3,FALSE),0)),1 + COUNTIF($A$2:A98,"&gt;0"))</f>
        <v>0</v>
      </c>
      <c r="B99" s="185" t="s">
        <v>523</v>
      </c>
      <c r="C99" s="185" t="s">
        <v>524</v>
      </c>
      <c r="D99" s="53">
        <v>0</v>
      </c>
      <c r="E99" s="53">
        <v>0</v>
      </c>
      <c r="F99" s="53">
        <v>9320635</v>
      </c>
      <c r="G99" s="53">
        <v>-9320635</v>
      </c>
    </row>
    <row r="100" spans="1:7">
      <c r="A100">
        <f>IFERROR(IF(B100="",0,IF(VALUE(LEFT(B100,1))&gt;3,VLOOKUP(VALUE(B100),PROYECCIONES!B:D,3,FALSE),0)),1 + COUNTIF($A$2:A99,"&gt;0"))</f>
        <v>0</v>
      </c>
      <c r="B100" s="185" t="s">
        <v>525</v>
      </c>
      <c r="C100" s="185" t="s">
        <v>526</v>
      </c>
      <c r="D100" s="53">
        <v>0</v>
      </c>
      <c r="E100" s="53">
        <v>0</v>
      </c>
      <c r="F100" s="53">
        <v>106347119</v>
      </c>
      <c r="G100" s="53">
        <v>-106347119</v>
      </c>
    </row>
    <row r="101" spans="1:7">
      <c r="A101">
        <f>IFERROR(IF(B101="",0,IF(VALUE(LEFT(B101,1))&gt;3,VLOOKUP(VALUE(B101),PROYECCIONES!B:D,3,FALSE),0)),1 + COUNTIF($A$2:A100,"&gt;0"))</f>
        <v>0</v>
      </c>
      <c r="B101" s="185" t="s">
        <v>527</v>
      </c>
      <c r="C101" s="185" t="s">
        <v>528</v>
      </c>
      <c r="D101" s="53">
        <v>0</v>
      </c>
      <c r="E101" s="53">
        <v>0</v>
      </c>
      <c r="F101" s="53">
        <v>41185457</v>
      </c>
      <c r="G101" s="53">
        <v>-41185457</v>
      </c>
    </row>
    <row r="102" spans="1:7">
      <c r="A102">
        <f>IFERROR(IF(B102="",0,IF(VALUE(LEFT(B102,1))&gt;3,VLOOKUP(VALUE(B102),PROYECCIONES!B:D,3,FALSE),0)),1 + COUNTIF($A$2:A101,"&gt;0"))</f>
        <v>0</v>
      </c>
      <c r="B102" s="185" t="s">
        <v>529</v>
      </c>
      <c r="C102" s="185" t="s">
        <v>530</v>
      </c>
      <c r="D102" s="53">
        <v>0</v>
      </c>
      <c r="E102" s="53">
        <v>0</v>
      </c>
      <c r="F102" s="53">
        <v>46049185</v>
      </c>
      <c r="G102" s="53">
        <v>-46049185</v>
      </c>
    </row>
    <row r="103" spans="1:7">
      <c r="A103">
        <f>IFERROR(IF(B103="",0,IF(VALUE(LEFT(B103,1))&gt;3,VLOOKUP(VALUE(B103),PROYECCIONES!B:D,3,FALSE),0)),1 + COUNTIF($A$2:A102,"&gt;0"))</f>
        <v>0</v>
      </c>
      <c r="B103" s="185" t="s">
        <v>531</v>
      </c>
      <c r="C103" s="185" t="s">
        <v>532</v>
      </c>
      <c r="D103" s="53">
        <v>0</v>
      </c>
      <c r="E103" s="53">
        <v>0</v>
      </c>
      <c r="F103" s="53">
        <v>41626840.030000001</v>
      </c>
      <c r="G103" s="53">
        <v>-41626840.030000001</v>
      </c>
    </row>
    <row r="104" spans="1:7">
      <c r="A104">
        <f>IFERROR(IF(B104="",0,IF(VALUE(LEFT(B104,1))&gt;3,VLOOKUP(VALUE(B104),PROYECCIONES!B:D,3,FALSE),0)),1 + COUNTIF($A$2:A103,"&gt;0"))</f>
        <v>0</v>
      </c>
      <c r="B104" s="185" t="s">
        <v>311</v>
      </c>
      <c r="C104" s="185" t="s">
        <v>263</v>
      </c>
      <c r="D104" s="53">
        <v>-324855397.33999997</v>
      </c>
      <c r="E104" s="53">
        <v>324855397.33999997</v>
      </c>
      <c r="F104" s="53">
        <v>0</v>
      </c>
      <c r="G104" s="53">
        <v>-5.9604644775390599E-8</v>
      </c>
    </row>
    <row r="105" spans="1:7">
      <c r="A105">
        <f>IFERROR(IF(B105="",0,IF(VALUE(LEFT(B105,1))&gt;3,VLOOKUP(VALUE(B105),PROYECCIONES!B:D,3,FALSE),0)),1 + COUNTIF($A$2:A104,"&gt;0"))</f>
        <v>0</v>
      </c>
      <c r="B105" s="185" t="s">
        <v>312</v>
      </c>
      <c r="C105" s="185" t="s">
        <v>119</v>
      </c>
      <c r="D105" s="53">
        <v>0</v>
      </c>
      <c r="E105" s="53">
        <v>0</v>
      </c>
      <c r="F105" s="53">
        <v>336318941</v>
      </c>
      <c r="G105" s="53">
        <v>-336318941</v>
      </c>
    </row>
    <row r="106" spans="1:7">
      <c r="A106">
        <f>IFERROR(IF(B106="",0,IF(VALUE(LEFT(B106,1))&gt;3,VLOOKUP(VALUE(B106),PROYECCIONES!B:D,3,FALSE),0)),1 + COUNTIF($A$2:A105,"&gt;0"))</f>
        <v>0</v>
      </c>
      <c r="B106" s="185" t="s">
        <v>386</v>
      </c>
      <c r="C106" s="185" t="s">
        <v>120</v>
      </c>
      <c r="D106" s="53">
        <v>0</v>
      </c>
      <c r="E106" s="53">
        <v>0</v>
      </c>
      <c r="F106" s="53">
        <v>93881926</v>
      </c>
      <c r="G106" s="53">
        <v>-93881926</v>
      </c>
    </row>
    <row r="107" spans="1:7">
      <c r="A107">
        <f>IFERROR(IF(B107="",0,IF(VALUE(LEFT(B107,1))&gt;3,VLOOKUP(VALUE(B107),PROYECCIONES!B:D,3,FALSE),0)),1 + COUNTIF($A$2:A106,"&gt;0"))</f>
        <v>0</v>
      </c>
      <c r="B107" s="185" t="s">
        <v>540</v>
      </c>
      <c r="C107" s="185" t="s">
        <v>191</v>
      </c>
      <c r="D107" s="53">
        <v>0</v>
      </c>
      <c r="E107" s="53">
        <v>0</v>
      </c>
      <c r="F107" s="53">
        <v>1009000</v>
      </c>
      <c r="G107" s="53">
        <v>-1009000</v>
      </c>
    </row>
    <row r="108" spans="1:7">
      <c r="A108">
        <f>IFERROR(IF(B108="",0,IF(VALUE(LEFT(B108,1))&gt;3,VLOOKUP(VALUE(B108),PROYECCIONES!B:D,3,FALSE),0)),1 + COUNTIF($A$2:A107,"&gt;0"))</f>
        <v>0</v>
      </c>
      <c r="B108" s="185" t="s">
        <v>541</v>
      </c>
      <c r="C108" s="185" t="s">
        <v>200</v>
      </c>
      <c r="D108" s="53">
        <v>0</v>
      </c>
      <c r="E108" s="53">
        <v>0</v>
      </c>
      <c r="F108" s="53">
        <v>7000000</v>
      </c>
      <c r="G108" s="53">
        <v>-7000000</v>
      </c>
    </row>
    <row r="109" spans="1:7">
      <c r="A109">
        <f>IFERROR(IF(B109="",0,IF(VALUE(LEFT(B109,1))&gt;3,VLOOKUP(VALUE(B109),PROYECCIONES!B:D,3,FALSE),0)),1 + COUNTIF($A$2:A108,"&gt;0"))</f>
        <v>0</v>
      </c>
      <c r="B109" s="185" t="s">
        <v>560</v>
      </c>
      <c r="C109" s="185" t="s">
        <v>419</v>
      </c>
      <c r="D109" s="53">
        <v>0</v>
      </c>
      <c r="E109" s="53">
        <v>0</v>
      </c>
      <c r="F109" s="53">
        <v>1200000</v>
      </c>
      <c r="G109" s="53">
        <v>-1200000</v>
      </c>
    </row>
    <row r="110" spans="1:7">
      <c r="A110">
        <f>IFERROR(IF(B110="",0,IF(VALUE(LEFT(B110,1))&gt;3,VLOOKUP(VALUE(B110),PROYECCIONES!B:D,3,FALSE),0)),1 + COUNTIF($A$2:A109,"&gt;0"))</f>
        <v>0</v>
      </c>
      <c r="B110" s="185" t="s">
        <v>580</v>
      </c>
      <c r="C110" s="185" t="s">
        <v>121</v>
      </c>
      <c r="D110" s="53">
        <v>0</v>
      </c>
      <c r="E110" s="53">
        <v>1800000</v>
      </c>
      <c r="F110" s="53">
        <v>0</v>
      </c>
      <c r="G110" s="53">
        <v>1800000</v>
      </c>
    </row>
    <row r="111" spans="1:7">
      <c r="A111">
        <f>IFERROR(IF(B111="",0,IF(VALUE(LEFT(B111,1))&gt;3,VLOOKUP(VALUE(B111),PROYECCIONES!B:D,3,FALSE),0)),1 + COUNTIF($A$2:A110,"&gt;0"))</f>
        <v>0</v>
      </c>
      <c r="B111" s="185" t="s">
        <v>589</v>
      </c>
      <c r="C111" s="185" t="s">
        <v>590</v>
      </c>
      <c r="D111" s="53">
        <v>0</v>
      </c>
      <c r="E111" s="53">
        <v>0</v>
      </c>
      <c r="F111" s="53">
        <v>394246</v>
      </c>
      <c r="G111" s="53">
        <v>-394246</v>
      </c>
    </row>
    <row r="112" spans="1:7">
      <c r="A112">
        <f>IFERROR(IF(B112="",0,IF(VALUE(LEFT(B112,1))&gt;3,VLOOKUP(VALUE(B112),PROYECCIONES!B:D,3,FALSE),0)),1 + COUNTIF($A$2:A111,"&gt;0"))</f>
        <v>0</v>
      </c>
      <c r="B112" s="185" t="s">
        <v>313</v>
      </c>
      <c r="C112" s="185" t="s">
        <v>122</v>
      </c>
      <c r="D112" s="53">
        <v>2.91038304567337E-11</v>
      </c>
      <c r="E112" s="53">
        <v>0</v>
      </c>
      <c r="F112" s="53">
        <v>10119.15</v>
      </c>
      <c r="G112" s="53">
        <v>-10119.15</v>
      </c>
    </row>
    <row r="113" spans="1:7">
      <c r="A113">
        <f>IFERROR(IF(B113="",0,IF(VALUE(LEFT(B113,1))&gt;3,VLOOKUP(VALUE(B113),PROYECCIONES!B:D,3,FALSE),0)),1 + COUNTIF($A$2:A112,"&gt;0"))</f>
        <v>0</v>
      </c>
      <c r="B113" s="185" t="s">
        <v>598</v>
      </c>
      <c r="C113" s="185" t="s">
        <v>599</v>
      </c>
      <c r="D113" s="53">
        <v>0</v>
      </c>
      <c r="E113" s="53">
        <v>0</v>
      </c>
      <c r="F113" s="53">
        <v>1645138.5</v>
      </c>
      <c r="G113" s="53">
        <v>-1645138.5</v>
      </c>
    </row>
    <row r="114" spans="1:7">
      <c r="A114">
        <f>IFERROR(IF(B114="",0,IF(VALUE(LEFT(B114,1))&gt;3,VLOOKUP(VALUE(B114),PROYECCIONES!B:D,3,FALSE),0)),1 + COUNTIF($A$2:A113,"&gt;0"))</f>
        <v>0</v>
      </c>
      <c r="B114" s="185" t="s">
        <v>542</v>
      </c>
      <c r="C114" s="185" t="s">
        <v>543</v>
      </c>
      <c r="D114" s="53">
        <v>0</v>
      </c>
      <c r="E114" s="53">
        <v>0</v>
      </c>
      <c r="F114" s="53">
        <v>682500</v>
      </c>
      <c r="G114" s="53">
        <v>-682500</v>
      </c>
    </row>
    <row r="115" spans="1:7">
      <c r="A115">
        <f>IFERROR(IF(B115="",0,IF(VALUE(LEFT(B115,1))&gt;3,VLOOKUP(VALUE(B115),PROYECCIONES!B:D,3,FALSE),0)),1 + COUNTIF($A$2:A114,"&gt;0"))</f>
        <v>0</v>
      </c>
      <c r="B115" s="185" t="s">
        <v>314</v>
      </c>
      <c r="C115" s="185" t="s">
        <v>99</v>
      </c>
      <c r="D115" s="53">
        <v>0</v>
      </c>
      <c r="E115" s="53">
        <v>0</v>
      </c>
      <c r="F115" s="53">
        <v>27.410000000001499</v>
      </c>
      <c r="G115" s="53">
        <v>-27.4100000000035</v>
      </c>
    </row>
    <row r="116" spans="1:7">
      <c r="A116">
        <f>IFERROR(IF(B116="",0,IF(VALUE(LEFT(B116,1))&gt;3,VLOOKUP(VALUE(B116),PROYECCIONES!B:D,3,FALSE),0)),1 + COUNTIF($A$2:A115,"&gt;0"))</f>
        <v>0</v>
      </c>
      <c r="B116" s="185" t="s">
        <v>315</v>
      </c>
      <c r="C116" s="185" t="s">
        <v>100</v>
      </c>
      <c r="D116" s="53">
        <v>0</v>
      </c>
      <c r="E116" s="53">
        <v>43126667</v>
      </c>
      <c r="F116" s="53">
        <v>0</v>
      </c>
      <c r="G116" s="53">
        <v>43126667</v>
      </c>
    </row>
    <row r="117" spans="1:7">
      <c r="A117">
        <f>IFERROR(IF(B117="",0,IF(VALUE(LEFT(B117,1))&gt;3,VLOOKUP(VALUE(B117),PROYECCIONES!B:D,3,FALSE),0)),1 + COUNTIF($A$2:A116,"&gt;0"))</f>
        <v>0</v>
      </c>
      <c r="B117" s="185" t="s">
        <v>316</v>
      </c>
      <c r="C117" s="185" t="s">
        <v>101</v>
      </c>
      <c r="D117" s="53">
        <v>0</v>
      </c>
      <c r="E117" s="53">
        <v>1430610</v>
      </c>
      <c r="F117" s="53">
        <v>0</v>
      </c>
      <c r="G117" s="53">
        <v>1430610</v>
      </c>
    </row>
    <row r="118" spans="1:7">
      <c r="A118">
        <f>IFERROR(IF(B118="",0,IF(VALUE(LEFT(B118,1))&gt;3,VLOOKUP(VALUE(B118),PROYECCIONES!B:D,3,FALSE),0)),1 + COUNTIF($A$2:A117,"&gt;0"))</f>
        <v>0</v>
      </c>
      <c r="B118" s="185" t="s">
        <v>317</v>
      </c>
      <c r="C118" s="185" t="s">
        <v>96</v>
      </c>
      <c r="D118" s="53">
        <v>0</v>
      </c>
      <c r="E118" s="53">
        <v>3800507</v>
      </c>
      <c r="F118" s="53">
        <v>0</v>
      </c>
      <c r="G118" s="53">
        <v>3800507</v>
      </c>
    </row>
    <row r="119" spans="1:7">
      <c r="A119">
        <f>IFERROR(IF(B119="",0,IF(VALUE(LEFT(B119,1))&gt;3,VLOOKUP(VALUE(B119),PROYECCIONES!B:D,3,FALSE),0)),1 + COUNTIF($A$2:A118,"&gt;0"))</f>
        <v>0</v>
      </c>
      <c r="B119" s="185" t="s">
        <v>318</v>
      </c>
      <c r="C119" s="185" t="s">
        <v>102</v>
      </c>
      <c r="D119" s="53">
        <v>0</v>
      </c>
      <c r="E119" s="53">
        <v>456064</v>
      </c>
      <c r="F119" s="53">
        <v>0</v>
      </c>
      <c r="G119" s="53">
        <v>456064</v>
      </c>
    </row>
    <row r="120" spans="1:7">
      <c r="A120">
        <f>IFERROR(IF(B120="",0,IF(VALUE(LEFT(B120,1))&gt;3,VLOOKUP(VALUE(B120),PROYECCIONES!B:D,3,FALSE),0)),1 + COUNTIF($A$2:A119,"&gt;0"))</f>
        <v>0</v>
      </c>
      <c r="B120" s="185" t="s">
        <v>319</v>
      </c>
      <c r="C120" s="185" t="s">
        <v>97</v>
      </c>
      <c r="D120" s="53">
        <v>0</v>
      </c>
      <c r="E120" s="53">
        <v>3230978</v>
      </c>
      <c r="F120" s="53">
        <v>0</v>
      </c>
      <c r="G120" s="53">
        <v>3230978</v>
      </c>
    </row>
    <row r="121" spans="1:7">
      <c r="A121">
        <f>IFERROR(IF(B121="",0,IF(VALUE(LEFT(B121,1))&gt;3,VLOOKUP(VALUE(B121),PROYECCIONES!B:D,3,FALSE),0)),1 + COUNTIF($A$2:A120,"&gt;0"))</f>
        <v>0</v>
      </c>
      <c r="B121" s="185" t="s">
        <v>320</v>
      </c>
      <c r="C121" s="185" t="s">
        <v>98</v>
      </c>
      <c r="D121" s="53">
        <v>0</v>
      </c>
      <c r="E121" s="53">
        <v>1841673</v>
      </c>
      <c r="F121" s="53">
        <v>0</v>
      </c>
      <c r="G121" s="53">
        <v>1841673</v>
      </c>
    </row>
    <row r="122" spans="1:7">
      <c r="A122">
        <f>IFERROR(IF(B122="",0,IF(VALUE(LEFT(B122,1))&gt;3,VLOOKUP(VALUE(B122),PROYECCIONES!B:D,3,FALSE),0)),1 + COUNTIF($A$2:A121,"&gt;0"))</f>
        <v>0</v>
      </c>
      <c r="B122" s="185" t="s">
        <v>484</v>
      </c>
      <c r="C122" s="185" t="s">
        <v>485</v>
      </c>
      <c r="D122" s="53">
        <v>0</v>
      </c>
      <c r="E122" s="53">
        <v>104040</v>
      </c>
      <c r="F122" s="53">
        <v>0</v>
      </c>
      <c r="G122" s="53">
        <v>104040</v>
      </c>
    </row>
    <row r="123" spans="1:7">
      <c r="A123">
        <f>IFERROR(IF(B123="",0,IF(VALUE(LEFT(B123,1))&gt;3,VLOOKUP(VALUE(B123),PROYECCIONES!B:D,3,FALSE),0)),1 + COUNTIF($A$2:A122,"&gt;0"))</f>
        <v>0</v>
      </c>
      <c r="B123" s="185" t="s">
        <v>387</v>
      </c>
      <c r="C123" s="185" t="s">
        <v>90</v>
      </c>
      <c r="D123" s="53">
        <v>0</v>
      </c>
      <c r="E123" s="53">
        <v>423957.77</v>
      </c>
      <c r="F123" s="53">
        <v>0</v>
      </c>
      <c r="G123" s="53">
        <v>423957.77</v>
      </c>
    </row>
    <row r="124" spans="1:7">
      <c r="A124">
        <f>IFERROR(IF(B124="",0,IF(VALUE(LEFT(B124,1))&gt;3,VLOOKUP(VALUE(B124),PROYECCIONES!B:D,3,FALSE),0)),1 + COUNTIF($A$2:A123,"&gt;0"))</f>
        <v>0</v>
      </c>
      <c r="B124" s="185" t="s">
        <v>321</v>
      </c>
      <c r="C124" s="185" t="s">
        <v>103</v>
      </c>
      <c r="D124" s="53">
        <v>0</v>
      </c>
      <c r="E124" s="53">
        <v>7293639</v>
      </c>
      <c r="F124" s="53">
        <v>0</v>
      </c>
      <c r="G124" s="53">
        <v>7293639</v>
      </c>
    </row>
    <row r="125" spans="1:7">
      <c r="A125">
        <f>IFERROR(IF(B125="",0,IF(VALUE(LEFT(B125,1))&gt;3,VLOOKUP(VALUE(B125),PROYECCIONES!B:D,3,FALSE),0)),1 + COUNTIF($A$2:A124,"&gt;0"))</f>
        <v>0</v>
      </c>
      <c r="B125" s="185" t="s">
        <v>322</v>
      </c>
      <c r="C125" s="185" t="s">
        <v>125</v>
      </c>
      <c r="D125" s="53">
        <v>0</v>
      </c>
      <c r="E125" s="53">
        <v>509412.13</v>
      </c>
      <c r="F125" s="53">
        <v>0</v>
      </c>
      <c r="G125" s="53">
        <v>509412.13000000099</v>
      </c>
    </row>
    <row r="126" spans="1:7">
      <c r="A126">
        <f>IFERROR(IF(B126="",0,IF(VALUE(LEFT(B126,1))&gt;3,VLOOKUP(VALUE(B126),PROYECCIONES!B:D,3,FALSE),0)),1 + COUNTIF($A$2:A125,"&gt;0"))</f>
        <v>0</v>
      </c>
      <c r="B126" s="185" t="s">
        <v>323</v>
      </c>
      <c r="C126" s="185" t="s">
        <v>126</v>
      </c>
      <c r="D126" s="53">
        <v>0</v>
      </c>
      <c r="E126" s="53">
        <v>500000</v>
      </c>
      <c r="F126" s="53">
        <v>0</v>
      </c>
      <c r="G126" s="53">
        <v>500000</v>
      </c>
    </row>
    <row r="127" spans="1:7">
      <c r="A127">
        <f>IFERROR(IF(B127="",0,IF(VALUE(LEFT(B127,1))&gt;3,VLOOKUP(VALUE(B127),PROYECCIONES!B:D,3,FALSE),0)),1 + COUNTIF($A$2:A126,"&gt;0"))</f>
        <v>0</v>
      </c>
      <c r="B127" s="185" t="s">
        <v>324</v>
      </c>
      <c r="C127" s="185" t="s">
        <v>127</v>
      </c>
      <c r="D127" s="53">
        <v>0</v>
      </c>
      <c r="E127" s="53">
        <v>230724</v>
      </c>
      <c r="F127" s="53">
        <v>0</v>
      </c>
      <c r="G127" s="53">
        <v>230724</v>
      </c>
    </row>
    <row r="128" spans="1:7">
      <c r="A128">
        <f>IFERROR(IF(B128="",0,IF(VALUE(LEFT(B128,1))&gt;3,VLOOKUP(VALUE(B128),PROYECCIONES!B:D,3,FALSE),0)),1 + COUNTIF($A$2:A127,"&gt;0"))</f>
        <v>0</v>
      </c>
      <c r="B128" s="185" t="s">
        <v>325</v>
      </c>
      <c r="C128" s="185" t="s">
        <v>128</v>
      </c>
      <c r="D128" s="53">
        <v>0</v>
      </c>
      <c r="E128" s="53">
        <v>4584000</v>
      </c>
      <c r="F128" s="53">
        <v>0</v>
      </c>
      <c r="G128" s="53">
        <v>4584000</v>
      </c>
    </row>
    <row r="129" spans="1:7">
      <c r="A129">
        <f>IFERROR(IF(B129="",0,IF(VALUE(LEFT(B129,1))&gt;3,VLOOKUP(VALUE(B129),PROYECCIONES!B:D,3,FALSE),0)),1 + COUNTIF($A$2:A128,"&gt;0"))</f>
        <v>0</v>
      </c>
      <c r="B129" s="185" t="s">
        <v>326</v>
      </c>
      <c r="C129" s="185" t="s">
        <v>129</v>
      </c>
      <c r="D129" s="53">
        <v>0</v>
      </c>
      <c r="E129" s="53">
        <v>1768000</v>
      </c>
      <c r="F129" s="53">
        <v>0</v>
      </c>
      <c r="G129" s="53">
        <v>1768000</v>
      </c>
    </row>
    <row r="130" spans="1:7">
      <c r="A130">
        <f>IFERROR(IF(B130="",0,IF(VALUE(LEFT(B130,1))&gt;3,VLOOKUP(VALUE(B130),PROYECCIONES!B:D,3,FALSE),0)),1 + COUNTIF($A$2:A129,"&gt;0"))</f>
        <v>0</v>
      </c>
      <c r="B130" s="185" t="s">
        <v>388</v>
      </c>
      <c r="C130" s="185" t="s">
        <v>130</v>
      </c>
      <c r="D130" s="53">
        <v>0</v>
      </c>
      <c r="E130" s="53">
        <v>1444716.81</v>
      </c>
      <c r="F130" s="53">
        <v>0</v>
      </c>
      <c r="G130" s="53">
        <v>1444716.81</v>
      </c>
    </row>
    <row r="131" spans="1:7">
      <c r="A131">
        <f>IFERROR(IF(B131="",0,IF(VALUE(LEFT(B131,1))&gt;3,VLOOKUP(VALUE(B131),PROYECCIONES!B:D,3,FALSE),0)),1 + COUNTIF($A$2:A130,"&gt;0"))</f>
        <v>0</v>
      </c>
      <c r="B131" s="185" t="s">
        <v>389</v>
      </c>
      <c r="C131" s="185" t="s">
        <v>131</v>
      </c>
      <c r="D131" s="53">
        <v>0</v>
      </c>
      <c r="E131" s="53">
        <v>19880000</v>
      </c>
      <c r="F131" s="53">
        <v>0</v>
      </c>
      <c r="G131" s="53">
        <v>19880000</v>
      </c>
    </row>
    <row r="132" spans="1:7">
      <c r="A132">
        <f>IFERROR(IF(B132="",0,IF(VALUE(LEFT(B132,1))&gt;3,VLOOKUP(VALUE(B132),PROYECCIONES!B:D,3,FALSE),0)),1 + COUNTIF($A$2:A131,"&gt;0"))</f>
        <v>0</v>
      </c>
      <c r="B132" s="185" t="s">
        <v>366</v>
      </c>
      <c r="C132" s="185" t="s">
        <v>132</v>
      </c>
      <c r="D132" s="53">
        <v>0</v>
      </c>
      <c r="E132" s="53">
        <v>1400000</v>
      </c>
      <c r="F132" s="53">
        <v>0</v>
      </c>
      <c r="G132" s="53">
        <v>1400000</v>
      </c>
    </row>
    <row r="133" spans="1:7">
      <c r="A133">
        <f>IFERROR(IF(B133="",0,IF(VALUE(LEFT(B133,1))&gt;3,VLOOKUP(VALUE(B133),PROYECCIONES!B:D,3,FALSE),0)),1 + COUNTIF($A$2:A132,"&gt;0"))</f>
        <v>0</v>
      </c>
      <c r="B133" s="185" t="s">
        <v>327</v>
      </c>
      <c r="C133" s="185" t="s">
        <v>133</v>
      </c>
      <c r="D133" s="53">
        <v>0</v>
      </c>
      <c r="E133" s="53">
        <v>2800000</v>
      </c>
      <c r="F133" s="53">
        <v>0</v>
      </c>
      <c r="G133" s="53">
        <v>2800000</v>
      </c>
    </row>
    <row r="134" spans="1:7">
      <c r="A134">
        <f>IFERROR(IF(B134="",0,IF(VALUE(LEFT(B134,1))&gt;3,VLOOKUP(VALUE(B134),PROYECCIONES!B:D,3,FALSE),0)),1 + COUNTIF($A$2:A133,"&gt;0"))</f>
        <v>0</v>
      </c>
      <c r="B134" s="185" t="s">
        <v>581</v>
      </c>
      <c r="C134" s="185" t="s">
        <v>582</v>
      </c>
      <c r="D134" s="53">
        <v>0</v>
      </c>
      <c r="E134" s="53">
        <v>1322150</v>
      </c>
      <c r="F134" s="53">
        <v>0</v>
      </c>
      <c r="G134" s="53">
        <v>1322150</v>
      </c>
    </row>
    <row r="135" spans="1:7">
      <c r="A135">
        <f>IFERROR(IF(B135="",0,IF(VALUE(LEFT(B135,1))&gt;3,VLOOKUP(VALUE(B135),PROYECCIONES!B:D,3,FALSE),0)),1 + COUNTIF($A$2:A134,"&gt;0"))</f>
        <v>0</v>
      </c>
      <c r="B135" s="185" t="s">
        <v>328</v>
      </c>
      <c r="C135" s="185" t="s">
        <v>110</v>
      </c>
      <c r="D135" s="53">
        <v>0</v>
      </c>
      <c r="E135" s="53">
        <v>2082312.36</v>
      </c>
      <c r="F135" s="53">
        <v>0</v>
      </c>
      <c r="G135" s="53">
        <v>2082312.36</v>
      </c>
    </row>
    <row r="136" spans="1:7">
      <c r="A136">
        <f>IFERROR(IF(B136="",0,IF(VALUE(LEFT(B136,1))&gt;3,VLOOKUP(VALUE(B136),PROYECCIONES!B:D,3,FALSE),0)),1 + COUNTIF($A$2:A135,"&gt;0"))</f>
        <v>0</v>
      </c>
      <c r="B136" s="185" t="s">
        <v>412</v>
      </c>
      <c r="C136" s="185" t="s">
        <v>198</v>
      </c>
      <c r="D136" s="53">
        <v>0</v>
      </c>
      <c r="E136" s="53">
        <v>48721.09</v>
      </c>
      <c r="F136" s="53">
        <v>0</v>
      </c>
      <c r="G136" s="53">
        <v>48721.09</v>
      </c>
    </row>
    <row r="137" spans="1:7">
      <c r="A137">
        <f>IFERROR(IF(B137="",0,IF(VALUE(LEFT(B137,1))&gt;3,VLOOKUP(VALUE(B137),PROYECCIONES!B:D,3,FALSE),0)),1 + COUNTIF($A$2:A136,"&gt;0"))</f>
        <v>0</v>
      </c>
      <c r="B137" s="185" t="s">
        <v>583</v>
      </c>
      <c r="C137" s="185" t="s">
        <v>134</v>
      </c>
      <c r="D137" s="53">
        <v>0</v>
      </c>
      <c r="E137" s="53">
        <v>13481.52</v>
      </c>
      <c r="F137" s="53">
        <v>0</v>
      </c>
      <c r="G137" s="53">
        <v>13481.52</v>
      </c>
    </row>
    <row r="138" spans="1:7">
      <c r="A138">
        <f>IFERROR(IF(B138="",0,IF(VALUE(LEFT(B138,1))&gt;3,VLOOKUP(VALUE(B138),PROYECCIONES!B:D,3,FALSE),0)),1 + COUNTIF($A$2:A137,"&gt;0"))</f>
        <v>0</v>
      </c>
      <c r="B138" s="185" t="s">
        <v>329</v>
      </c>
      <c r="C138" s="185" t="s">
        <v>135</v>
      </c>
      <c r="D138" s="53">
        <v>-4.65661287307739E-10</v>
      </c>
      <c r="E138" s="53">
        <v>269252.68</v>
      </c>
      <c r="F138" s="53">
        <v>0</v>
      </c>
      <c r="G138" s="53">
        <v>269252.679999999</v>
      </c>
    </row>
    <row r="139" spans="1:7">
      <c r="A139">
        <f>IFERROR(IF(B139="",0,IF(VALUE(LEFT(B139,1))&gt;3,VLOOKUP(VALUE(B139),PROYECCIONES!B:D,3,FALSE),0)),1 + COUNTIF($A$2:A138,"&gt;0"))</f>
        <v>0</v>
      </c>
      <c r="B139" s="185" t="s">
        <v>330</v>
      </c>
      <c r="C139" s="185" t="s">
        <v>136</v>
      </c>
      <c r="D139" s="53">
        <v>0</v>
      </c>
      <c r="E139" s="53">
        <v>10260067</v>
      </c>
      <c r="F139" s="53">
        <v>0</v>
      </c>
      <c r="G139" s="53">
        <v>10260067</v>
      </c>
    </row>
    <row r="140" spans="1:7">
      <c r="A140">
        <f>IFERROR(IF(B140="",0,IF(VALUE(LEFT(B140,1))&gt;3,VLOOKUP(VALUE(B140),PROYECCIONES!B:D,3,FALSE),0)),1 + COUNTIF($A$2:A139,"&gt;0"))</f>
        <v>0</v>
      </c>
      <c r="B140" s="185" t="s">
        <v>544</v>
      </c>
      <c r="C140" s="185" t="s">
        <v>420</v>
      </c>
      <c r="D140" s="53">
        <v>0</v>
      </c>
      <c r="E140" s="53">
        <v>5769252.46</v>
      </c>
      <c r="F140" s="53">
        <v>0</v>
      </c>
      <c r="G140" s="53">
        <v>5769252.46</v>
      </c>
    </row>
    <row r="141" spans="1:7">
      <c r="A141">
        <f>IFERROR(IF(B141="",0,IF(VALUE(LEFT(B141,1))&gt;3,VLOOKUP(VALUE(B141),PROYECCIONES!B:D,3,FALSE),0)),1 + COUNTIF($A$2:A140,"&gt;0"))</f>
        <v>0</v>
      </c>
      <c r="B141" s="185" t="s">
        <v>561</v>
      </c>
      <c r="C141" s="185" t="s">
        <v>562</v>
      </c>
      <c r="D141" s="53">
        <v>0</v>
      </c>
      <c r="E141" s="53">
        <v>84033</v>
      </c>
      <c r="F141" s="53">
        <v>0</v>
      </c>
      <c r="G141" s="53">
        <v>84033</v>
      </c>
    </row>
    <row r="142" spans="1:7">
      <c r="A142">
        <f>IFERROR(IF(B142="",0,IF(VALUE(LEFT(B142,1))&gt;3,VLOOKUP(VALUE(B142),PROYECCIONES!B:D,3,FALSE),0)),1 + COUNTIF($A$2:A141,"&gt;0"))</f>
        <v>0</v>
      </c>
      <c r="B142" s="185" t="s">
        <v>331</v>
      </c>
      <c r="C142" s="185" t="s">
        <v>137</v>
      </c>
      <c r="D142" s="53">
        <v>0</v>
      </c>
      <c r="E142" s="53">
        <v>4371858</v>
      </c>
      <c r="F142" s="53">
        <v>0</v>
      </c>
      <c r="G142" s="53">
        <v>4371858</v>
      </c>
    </row>
    <row r="143" spans="1:7">
      <c r="A143">
        <f>IFERROR(IF(B143="",0,IF(VALUE(LEFT(B143,1))&gt;3,VLOOKUP(VALUE(B143),PROYECCIONES!B:D,3,FALSE),0)),1 + COUNTIF($A$2:A142,"&gt;0"))</f>
        <v>0</v>
      </c>
      <c r="B143" s="185" t="s">
        <v>332</v>
      </c>
      <c r="C143" s="185" t="s">
        <v>139</v>
      </c>
      <c r="D143" s="53">
        <v>0</v>
      </c>
      <c r="E143" s="53">
        <v>1396943.29</v>
      </c>
      <c r="F143" s="53">
        <v>0</v>
      </c>
      <c r="G143" s="53">
        <v>1396943.29</v>
      </c>
    </row>
    <row r="144" spans="1:7">
      <c r="A144">
        <f>IFERROR(IF(B144="",0,IF(VALUE(LEFT(B144,1))&gt;3,VLOOKUP(VALUE(B144),PROYECCIONES!B:D,3,FALSE),0)),1 + COUNTIF($A$2:A143,"&gt;0"))</f>
        <v>0</v>
      </c>
      <c r="B144" s="185" t="s">
        <v>333</v>
      </c>
      <c r="C144" s="185" t="s">
        <v>140</v>
      </c>
      <c r="D144" s="53">
        <v>-2.3283064365386999E-10</v>
      </c>
      <c r="E144" s="53">
        <v>21140.47</v>
      </c>
      <c r="F144" s="53">
        <v>0</v>
      </c>
      <c r="G144" s="53">
        <v>21140.469999999699</v>
      </c>
    </row>
    <row r="145" spans="1:7">
      <c r="A145">
        <f>IFERROR(IF(B145="",0,IF(VALUE(LEFT(B145,1))&gt;3,VLOOKUP(VALUE(B145),PROYECCIONES!B:D,3,FALSE),0)),1 + COUNTIF($A$2:A144,"&gt;0"))</f>
        <v>0</v>
      </c>
      <c r="B145" s="185" t="s">
        <v>563</v>
      </c>
      <c r="C145" s="185" t="s">
        <v>564</v>
      </c>
      <c r="D145" s="53">
        <v>0</v>
      </c>
      <c r="E145" s="53">
        <v>47038</v>
      </c>
      <c r="F145" s="53">
        <v>0</v>
      </c>
      <c r="G145" s="53">
        <v>47038</v>
      </c>
    </row>
    <row r="146" spans="1:7">
      <c r="A146">
        <f>IFERROR(IF(B146="",0,IF(VALUE(LEFT(B146,1))&gt;3,VLOOKUP(VALUE(B146),PROYECCIONES!B:D,3,FALSE),0)),1 + COUNTIF($A$2:A145,"&gt;0"))</f>
        <v>0</v>
      </c>
      <c r="B146" s="185" t="s">
        <v>334</v>
      </c>
      <c r="C146" s="185" t="s">
        <v>141</v>
      </c>
      <c r="D146" s="53">
        <v>0</v>
      </c>
      <c r="E146" s="53">
        <v>5350000</v>
      </c>
      <c r="F146" s="53">
        <v>0</v>
      </c>
      <c r="G146" s="53">
        <v>5350000</v>
      </c>
    </row>
    <row r="147" spans="1:7">
      <c r="A147">
        <f>IFERROR(IF(B147="",0,IF(VALUE(LEFT(B147,1))&gt;3,VLOOKUP(VALUE(B147),PROYECCIONES!B:D,3,FALSE),0)),1 + COUNTIF($A$2:A146,"&gt;0"))</f>
        <v>0</v>
      </c>
      <c r="B147" s="185" t="s">
        <v>565</v>
      </c>
      <c r="C147" s="185" t="s">
        <v>142</v>
      </c>
      <c r="D147" s="53">
        <v>0</v>
      </c>
      <c r="E147" s="53">
        <v>1462500</v>
      </c>
      <c r="F147" s="53">
        <v>0</v>
      </c>
      <c r="G147" s="53">
        <v>1462500</v>
      </c>
    </row>
    <row r="148" spans="1:7">
      <c r="A148">
        <f>IFERROR(IF(B148="",0,IF(VALUE(LEFT(B148,1))&gt;3,VLOOKUP(VALUE(B148),PROYECCIONES!B:D,3,FALSE),0)),1 + COUNTIF($A$2:A147,"&gt;0"))</f>
        <v>0</v>
      </c>
      <c r="B148" s="185" t="s">
        <v>335</v>
      </c>
      <c r="C148" s="185" t="s">
        <v>143</v>
      </c>
      <c r="D148" s="53">
        <v>0</v>
      </c>
      <c r="E148" s="53">
        <v>298147.99</v>
      </c>
      <c r="F148" s="53">
        <v>0</v>
      </c>
      <c r="G148" s="53">
        <v>298147.99</v>
      </c>
    </row>
    <row r="149" spans="1:7">
      <c r="A149">
        <f>IFERROR(IF(B149="",0,IF(VALUE(LEFT(B149,1))&gt;3,VLOOKUP(VALUE(B149),PROYECCIONES!B:D,3,FALSE),0)),1 + COUNTIF($A$2:A148,"&gt;0"))</f>
        <v>0</v>
      </c>
      <c r="B149" s="185" t="s">
        <v>336</v>
      </c>
      <c r="C149" s="185" t="s">
        <v>144</v>
      </c>
      <c r="D149" s="53">
        <v>0</v>
      </c>
      <c r="E149" s="53">
        <v>1482666.34</v>
      </c>
      <c r="F149" s="53">
        <v>0</v>
      </c>
      <c r="G149" s="53">
        <v>1482666.34</v>
      </c>
    </row>
    <row r="150" spans="1:7">
      <c r="A150">
        <f>IFERROR(IF(B150="",0,IF(VALUE(LEFT(B150,1))&gt;3,VLOOKUP(VALUE(B150),PROYECCIONES!B:D,3,FALSE),0)),1 + COUNTIF($A$2:A149,"&gt;0"))</f>
        <v>0</v>
      </c>
      <c r="B150" s="185" t="s">
        <v>367</v>
      </c>
      <c r="C150" s="185" t="s">
        <v>145</v>
      </c>
      <c r="D150" s="53">
        <v>0</v>
      </c>
      <c r="E150" s="53">
        <v>122291</v>
      </c>
      <c r="F150" s="53">
        <v>0</v>
      </c>
      <c r="G150" s="53">
        <v>122291</v>
      </c>
    </row>
    <row r="151" spans="1:7">
      <c r="A151">
        <f>IFERROR(IF(B151="",0,IF(VALUE(LEFT(B151,1))&gt;3,VLOOKUP(VALUE(B151),PROYECCIONES!B:D,3,FALSE),0)),1 + COUNTIF($A$2:A150,"&gt;0"))</f>
        <v>0</v>
      </c>
      <c r="B151" s="185" t="s">
        <v>337</v>
      </c>
      <c r="C151" s="185" t="s">
        <v>146</v>
      </c>
      <c r="D151" s="53">
        <v>0</v>
      </c>
      <c r="E151" s="53">
        <v>1562015.04</v>
      </c>
      <c r="F151" s="53">
        <v>0</v>
      </c>
      <c r="G151" s="53">
        <v>1562015.04</v>
      </c>
    </row>
    <row r="152" spans="1:7">
      <c r="A152">
        <f>IFERROR(IF(B152="",0,IF(VALUE(LEFT(B152,1))&gt;3,VLOOKUP(VALUE(B152),PROYECCIONES!B:D,3,FALSE),0)),1 + COUNTIF($A$2:A151,"&gt;0"))</f>
        <v>0</v>
      </c>
      <c r="B152" s="185" t="s">
        <v>338</v>
      </c>
      <c r="C152" s="185" t="s">
        <v>147</v>
      </c>
      <c r="D152" s="53">
        <v>0</v>
      </c>
      <c r="E152" s="53">
        <v>157492</v>
      </c>
      <c r="F152" s="53">
        <v>0</v>
      </c>
      <c r="G152" s="53">
        <v>157492</v>
      </c>
    </row>
    <row r="153" spans="1:7">
      <c r="A153">
        <f>IFERROR(IF(B153="",0,IF(VALUE(LEFT(B153,1))&gt;3,VLOOKUP(VALUE(B153),PROYECCIONES!B:D,3,FALSE),0)),1 + COUNTIF($A$2:A152,"&gt;0"))</f>
        <v>0</v>
      </c>
      <c r="B153" s="185" t="s">
        <v>339</v>
      </c>
      <c r="C153" s="185" t="s">
        <v>148</v>
      </c>
      <c r="D153" s="53">
        <v>0</v>
      </c>
      <c r="E153" s="53">
        <v>707308.9</v>
      </c>
      <c r="F153" s="53">
        <v>0</v>
      </c>
      <c r="G153" s="53">
        <v>707308.9</v>
      </c>
    </row>
    <row r="154" spans="1:7">
      <c r="A154">
        <f>IFERROR(IF(B154="",0,IF(VALUE(LEFT(B154,1))&gt;3,VLOOKUP(VALUE(B154),PROYECCIONES!B:D,3,FALSE),0)),1 + COUNTIF($A$2:A153,"&gt;0"))</f>
        <v>0</v>
      </c>
      <c r="B154" s="185" t="s">
        <v>340</v>
      </c>
      <c r="C154" s="185" t="s">
        <v>149</v>
      </c>
      <c r="D154" s="53">
        <v>0</v>
      </c>
      <c r="E154" s="53">
        <v>500000</v>
      </c>
      <c r="F154" s="53">
        <v>0</v>
      </c>
      <c r="G154" s="53">
        <v>500000</v>
      </c>
    </row>
    <row r="155" spans="1:7">
      <c r="A155">
        <f>IFERROR(IF(B155="",0,IF(VALUE(LEFT(B155,1))&gt;3,VLOOKUP(VALUE(B155),PROYECCIONES!B:D,3,FALSE),0)),1 + COUNTIF($A$2:A154,"&gt;0"))</f>
        <v>0</v>
      </c>
      <c r="B155" s="185" t="s">
        <v>390</v>
      </c>
      <c r="C155" s="185" t="s">
        <v>201</v>
      </c>
      <c r="D155" s="53">
        <v>0</v>
      </c>
      <c r="E155" s="53">
        <v>2799579.83</v>
      </c>
      <c r="F155" s="53">
        <v>0</v>
      </c>
      <c r="G155" s="53">
        <v>2799579.83</v>
      </c>
    </row>
    <row r="156" spans="1:7">
      <c r="A156">
        <f>IFERROR(IF(B156="",0,IF(VALUE(LEFT(B156,1))&gt;3,VLOOKUP(VALUE(B156),PROYECCIONES!B:D,3,FALSE),0)),1 + COUNTIF($A$2:A155,"&gt;0"))</f>
        <v>0</v>
      </c>
      <c r="B156" s="185" t="s">
        <v>391</v>
      </c>
      <c r="C156" s="185" t="s">
        <v>104</v>
      </c>
      <c r="D156" s="53">
        <v>0</v>
      </c>
      <c r="E156" s="53">
        <v>1743000</v>
      </c>
      <c r="F156" s="53">
        <v>0</v>
      </c>
      <c r="G156" s="53">
        <v>1743000</v>
      </c>
    </row>
    <row r="157" spans="1:7">
      <c r="A157">
        <f>IFERROR(IF(B157="",0,IF(VALUE(LEFT(B157,1))&gt;3,VLOOKUP(VALUE(B157),PROYECCIONES!B:D,3,FALSE),0)),1 + COUNTIF($A$2:A156,"&gt;0"))</f>
        <v>0</v>
      </c>
      <c r="B157" s="185" t="s">
        <v>545</v>
      </c>
      <c r="C157" s="185" t="s">
        <v>105</v>
      </c>
      <c r="D157" s="53">
        <v>0</v>
      </c>
      <c r="E157" s="53">
        <v>127740</v>
      </c>
      <c r="F157" s="53">
        <v>0</v>
      </c>
      <c r="G157" s="53">
        <v>127740</v>
      </c>
    </row>
    <row r="158" spans="1:7">
      <c r="A158">
        <f>IFERROR(IF(B158="",0,IF(VALUE(LEFT(B158,1))&gt;3,VLOOKUP(VALUE(B158),PROYECCIONES!B:D,3,FALSE),0)),1 + COUNTIF($A$2:A157,"&gt;0"))</f>
        <v>0</v>
      </c>
      <c r="B158" s="185" t="s">
        <v>584</v>
      </c>
      <c r="C158" s="185" t="s">
        <v>153</v>
      </c>
      <c r="D158" s="53">
        <v>0</v>
      </c>
      <c r="E158" s="53">
        <v>651000</v>
      </c>
      <c r="F158" s="53">
        <v>0</v>
      </c>
      <c r="G158" s="53">
        <v>651000</v>
      </c>
    </row>
    <row r="159" spans="1:7">
      <c r="A159">
        <f>IFERROR(IF(B159="",0,IF(VALUE(LEFT(B159,1))&gt;3,VLOOKUP(VALUE(B159),PROYECCIONES!B:D,3,FALSE),0)),1 + COUNTIF($A$2:A158,"&gt;0"))</f>
        <v>0</v>
      </c>
      <c r="B159" s="185" t="s">
        <v>414</v>
      </c>
      <c r="C159" s="185" t="s">
        <v>202</v>
      </c>
      <c r="D159" s="53">
        <v>0</v>
      </c>
      <c r="E159" s="53">
        <v>378151</v>
      </c>
      <c r="F159" s="53">
        <v>0</v>
      </c>
      <c r="G159" s="53">
        <v>378151</v>
      </c>
    </row>
    <row r="160" spans="1:7">
      <c r="A160">
        <f>IFERROR(IF(B160="",0,IF(VALUE(LEFT(B160,1))&gt;3,VLOOKUP(VALUE(B160),PROYECCIONES!B:D,3,FALSE),0)),1 + COUNTIF($A$2:A159,"&gt;0"))</f>
        <v>0</v>
      </c>
      <c r="B160" s="185" t="s">
        <v>341</v>
      </c>
      <c r="C160" s="185" t="s">
        <v>154</v>
      </c>
      <c r="D160" s="53">
        <v>0</v>
      </c>
      <c r="E160" s="53">
        <v>3970706.17</v>
      </c>
      <c r="F160" s="53">
        <v>0</v>
      </c>
      <c r="G160" s="53">
        <v>3970706.17</v>
      </c>
    </row>
    <row r="161" spans="1:7">
      <c r="A161">
        <f>IFERROR(IF(B161="",0,IF(VALUE(LEFT(B161,1))&gt;3,VLOOKUP(VALUE(B161),PROYECCIONES!B:D,3,FALSE),0)),1 + COUNTIF($A$2:A160,"&gt;0"))</f>
        <v>0</v>
      </c>
      <c r="B161" s="185" t="s">
        <v>566</v>
      </c>
      <c r="C161" s="185" t="s">
        <v>199</v>
      </c>
      <c r="D161" s="53">
        <v>0</v>
      </c>
      <c r="E161" s="53">
        <v>605798.31999999995</v>
      </c>
      <c r="F161" s="53">
        <v>0</v>
      </c>
      <c r="G161" s="53">
        <v>605798.31999999995</v>
      </c>
    </row>
    <row r="162" spans="1:7">
      <c r="A162">
        <f>IFERROR(IF(B162="",0,IF(VALUE(LEFT(B162,1))&gt;3,VLOOKUP(VALUE(B162),PROYECCIONES!B:D,3,FALSE),0)),1 + COUNTIF($A$2:A161,"&gt;0"))</f>
        <v>0</v>
      </c>
      <c r="B162" s="185" t="s">
        <v>567</v>
      </c>
      <c r="C162" s="185" t="s">
        <v>568</v>
      </c>
      <c r="D162" s="53">
        <v>0</v>
      </c>
      <c r="E162" s="53">
        <v>2249411</v>
      </c>
      <c r="F162" s="53">
        <v>0</v>
      </c>
      <c r="G162" s="53">
        <v>2249411</v>
      </c>
    </row>
    <row r="163" spans="1:7">
      <c r="A163">
        <f>IFERROR(IF(B163="",0,IF(VALUE(LEFT(B163,1))&gt;3,VLOOKUP(VALUE(B163),PROYECCIONES!B:D,3,FALSE),0)),1 + COUNTIF($A$2:A162,"&gt;0"))</f>
        <v>0</v>
      </c>
      <c r="B163" s="185" t="s">
        <v>392</v>
      </c>
      <c r="C163" s="185" t="s">
        <v>155</v>
      </c>
      <c r="D163" s="53">
        <v>0</v>
      </c>
      <c r="E163" s="53">
        <v>3214539</v>
      </c>
      <c r="F163" s="53">
        <v>0</v>
      </c>
      <c r="G163" s="53">
        <v>3214539</v>
      </c>
    </row>
    <row r="164" spans="1:7">
      <c r="A164">
        <f>IFERROR(IF(B164="",0,IF(VALUE(LEFT(B164,1))&gt;3,VLOOKUP(VALUE(B164),PROYECCIONES!B:D,3,FALSE),0)),1 + COUNTIF($A$2:A163,"&gt;0"))</f>
        <v>0</v>
      </c>
      <c r="B164" s="185" t="s">
        <v>342</v>
      </c>
      <c r="C164" s="185" t="s">
        <v>156</v>
      </c>
      <c r="D164" s="53">
        <v>0</v>
      </c>
      <c r="E164" s="53">
        <v>8421071.2599999998</v>
      </c>
      <c r="F164" s="53">
        <v>0</v>
      </c>
      <c r="G164" s="53">
        <v>8421071.2599999998</v>
      </c>
    </row>
    <row r="165" spans="1:7">
      <c r="A165">
        <f>IFERROR(IF(B165="",0,IF(VALUE(LEFT(B165,1))&gt;3,VLOOKUP(VALUE(B165),PROYECCIONES!B:D,3,FALSE),0)),1 + COUNTIF($A$2:A164,"&gt;0"))</f>
        <v>0</v>
      </c>
      <c r="B165" s="185" t="s">
        <v>343</v>
      </c>
      <c r="C165" s="185" t="s">
        <v>157</v>
      </c>
      <c r="D165" s="53">
        <v>0</v>
      </c>
      <c r="E165" s="53">
        <v>3155000</v>
      </c>
      <c r="F165" s="53">
        <v>0</v>
      </c>
      <c r="G165" s="53">
        <v>3155000</v>
      </c>
    </row>
    <row r="166" spans="1:7">
      <c r="A166">
        <f>IFERROR(IF(B166="",0,IF(VALUE(LEFT(B166,1))&gt;3,VLOOKUP(VALUE(B166),PROYECCIONES!B:D,3,FALSE),0)),1 + COUNTIF($A$2:A165,"&gt;0"))</f>
        <v>0</v>
      </c>
      <c r="B166" s="185" t="s">
        <v>569</v>
      </c>
      <c r="C166" s="185" t="s">
        <v>158</v>
      </c>
      <c r="D166" s="53">
        <v>0</v>
      </c>
      <c r="E166" s="53">
        <v>375414</v>
      </c>
      <c r="F166" s="53">
        <v>0</v>
      </c>
      <c r="G166" s="53">
        <v>375414</v>
      </c>
    </row>
    <row r="167" spans="1:7">
      <c r="A167">
        <f>IFERROR(IF(B167="",0,IF(VALUE(LEFT(B167,1))&gt;3,VLOOKUP(VALUE(B167),PROYECCIONES!B:D,3,FALSE),0)),1 + COUNTIF($A$2:A166,"&gt;0"))</f>
        <v>0</v>
      </c>
      <c r="B167" s="185" t="s">
        <v>546</v>
      </c>
      <c r="C167" s="185" t="s">
        <v>409</v>
      </c>
      <c r="D167" s="53">
        <v>0</v>
      </c>
      <c r="E167" s="53">
        <v>1411947.63</v>
      </c>
      <c r="F167" s="53">
        <v>0</v>
      </c>
      <c r="G167" s="53">
        <v>1411947.63</v>
      </c>
    </row>
    <row r="168" spans="1:7">
      <c r="A168">
        <f>IFERROR(IF(B168="",0,IF(VALUE(LEFT(B168,1))&gt;3,VLOOKUP(VALUE(B168),PROYECCIONES!B:D,3,FALSE),0)),1 + COUNTIF($A$2:A167,"&gt;0"))</f>
        <v>0</v>
      </c>
      <c r="B168" s="185" t="s">
        <v>91</v>
      </c>
      <c r="C168" s="185" t="s">
        <v>159</v>
      </c>
      <c r="D168" s="53">
        <v>0</v>
      </c>
      <c r="E168" s="53">
        <v>432300</v>
      </c>
      <c r="F168" s="53">
        <v>0</v>
      </c>
      <c r="G168" s="53">
        <v>432300</v>
      </c>
    </row>
    <row r="169" spans="1:7">
      <c r="A169">
        <f>IFERROR(IF(B169="",0,IF(VALUE(LEFT(B169,1))&gt;3,VLOOKUP(VALUE(B169),PROYECCIONES!B:D,3,FALSE),0)),1 + COUNTIF($A$2:A168,"&gt;0"))</f>
        <v>0</v>
      </c>
      <c r="B169" s="185" t="s">
        <v>344</v>
      </c>
      <c r="C169" s="185" t="s">
        <v>160</v>
      </c>
      <c r="D169" s="53">
        <v>-1.8626451492309599E-9</v>
      </c>
      <c r="E169" s="53">
        <v>1481467.96</v>
      </c>
      <c r="F169" s="53">
        <v>0</v>
      </c>
      <c r="G169" s="53">
        <v>1481467.96</v>
      </c>
    </row>
    <row r="170" spans="1:7">
      <c r="A170">
        <f>IFERROR(IF(B170="",0,IF(VALUE(LEFT(B170,1))&gt;3,VLOOKUP(VALUE(B170),PROYECCIONES!B:D,3,FALSE),0)),1 + COUNTIF($A$2:A169,"&gt;0"))</f>
        <v>0</v>
      </c>
      <c r="B170" s="185" t="s">
        <v>570</v>
      </c>
      <c r="C170" s="185" t="s">
        <v>161</v>
      </c>
      <c r="D170" s="53">
        <v>-2.3283064365386999E-10</v>
      </c>
      <c r="E170" s="53">
        <v>410000.01</v>
      </c>
      <c r="F170" s="53">
        <v>0</v>
      </c>
      <c r="G170" s="53">
        <v>410000.01</v>
      </c>
    </row>
    <row r="171" spans="1:7">
      <c r="A171">
        <f>IFERROR(IF(B171="",0,IF(VALUE(LEFT(B171,1))&gt;3,VLOOKUP(VALUE(B171),PROYECCIONES!B:D,3,FALSE),0)),1 + COUNTIF($A$2:A170,"&gt;0"))</f>
        <v>0</v>
      </c>
      <c r="B171" s="185" t="s">
        <v>345</v>
      </c>
      <c r="C171" s="185" t="s">
        <v>162</v>
      </c>
      <c r="D171" s="53">
        <v>1.8626451492309599E-9</v>
      </c>
      <c r="E171" s="53">
        <v>3586916.69</v>
      </c>
      <c r="F171" s="53">
        <v>0</v>
      </c>
      <c r="G171" s="53">
        <v>3586916.69</v>
      </c>
    </row>
    <row r="172" spans="1:7">
      <c r="A172">
        <f>IFERROR(IF(B172="",0,IF(VALUE(LEFT(B172,1))&gt;3,VLOOKUP(VALUE(B172),PROYECCIONES!B:D,3,FALSE),0)),1 + COUNTIF($A$2:A171,"&gt;0"))</f>
        <v>0</v>
      </c>
      <c r="B172" s="185" t="s">
        <v>368</v>
      </c>
      <c r="C172" s="185" t="s">
        <v>163</v>
      </c>
      <c r="D172" s="53">
        <v>0</v>
      </c>
      <c r="E172" s="53">
        <v>724900</v>
      </c>
      <c r="F172" s="53">
        <v>0</v>
      </c>
      <c r="G172" s="53">
        <v>724900</v>
      </c>
    </row>
    <row r="173" spans="1:7">
      <c r="A173">
        <f>IFERROR(IF(B173="",0,IF(VALUE(LEFT(B173,1))&gt;3,VLOOKUP(VALUE(B173),PROYECCIONES!B:D,3,FALSE),0)),1 + COUNTIF($A$2:A172,"&gt;0"))</f>
        <v>0</v>
      </c>
      <c r="B173" s="185" t="s">
        <v>393</v>
      </c>
      <c r="C173" s="185" t="s">
        <v>164</v>
      </c>
      <c r="D173" s="53">
        <v>0</v>
      </c>
      <c r="E173" s="53">
        <v>12600000</v>
      </c>
      <c r="F173" s="53">
        <v>0</v>
      </c>
      <c r="G173" s="53">
        <v>12600000</v>
      </c>
    </row>
    <row r="174" spans="1:7">
      <c r="A174">
        <f>IFERROR(IF(B174="",0,IF(VALUE(LEFT(B174,1))&gt;3,VLOOKUP(VALUE(B174),PROYECCIONES!B:D,3,FALSE),0)),1 + COUNTIF($A$2:A173,"&gt;0"))</f>
        <v>0</v>
      </c>
      <c r="B174" s="185" t="s">
        <v>369</v>
      </c>
      <c r="C174" s="185" t="s">
        <v>165</v>
      </c>
      <c r="D174" s="53">
        <v>-2.3283064365386999E-10</v>
      </c>
      <c r="E174" s="53">
        <v>407689</v>
      </c>
      <c r="F174" s="53">
        <v>0</v>
      </c>
      <c r="G174" s="53">
        <v>407689</v>
      </c>
    </row>
    <row r="175" spans="1:7">
      <c r="A175">
        <f>IFERROR(IF(B175="",0,IF(VALUE(LEFT(B175,1))&gt;3,VLOOKUP(VALUE(B175),PROYECCIONES!B:D,3,FALSE),0)),1 + COUNTIF($A$2:A174,"&gt;0"))</f>
        <v>0</v>
      </c>
      <c r="B175" s="185" t="s">
        <v>346</v>
      </c>
      <c r="C175" s="185" t="s">
        <v>166</v>
      </c>
      <c r="D175" s="53">
        <v>2.3283064365386999E-10</v>
      </c>
      <c r="E175" s="53">
        <v>232974</v>
      </c>
      <c r="F175" s="53">
        <v>0</v>
      </c>
      <c r="G175" s="53">
        <v>232974</v>
      </c>
    </row>
    <row r="176" spans="1:7">
      <c r="A176">
        <f>IFERROR(IF(B176="",0,IF(VALUE(LEFT(B176,1))&gt;3,VLOOKUP(VALUE(B176),PROYECCIONES!B:D,3,FALSE),0)),1 + COUNTIF($A$2:A175,"&gt;0"))</f>
        <v>0</v>
      </c>
      <c r="B176" s="185" t="s">
        <v>347</v>
      </c>
      <c r="C176" s="185" t="s">
        <v>167</v>
      </c>
      <c r="D176" s="53">
        <v>1.8626451492309599E-9</v>
      </c>
      <c r="E176" s="53">
        <v>99078</v>
      </c>
      <c r="F176" s="53">
        <v>0</v>
      </c>
      <c r="G176" s="53">
        <v>99078.000000001906</v>
      </c>
    </row>
    <row r="177" spans="1:7">
      <c r="A177">
        <f>IFERROR(IF(B177="",0,IF(VALUE(LEFT(B177,1))&gt;3,VLOOKUP(VALUE(B177),PROYECCIONES!B:D,3,FALSE),0)),1 + COUNTIF($A$2:A176,"&gt;0"))</f>
        <v>0</v>
      </c>
      <c r="B177" s="185" t="s">
        <v>394</v>
      </c>
      <c r="C177" s="185" t="s">
        <v>168</v>
      </c>
      <c r="D177" s="53">
        <v>0</v>
      </c>
      <c r="E177" s="53">
        <v>215000</v>
      </c>
      <c r="F177" s="53">
        <v>0</v>
      </c>
      <c r="G177" s="53">
        <v>215000</v>
      </c>
    </row>
    <row r="178" spans="1:7">
      <c r="A178">
        <f>IFERROR(IF(B178="",0,IF(VALUE(LEFT(B178,1))&gt;3,VLOOKUP(VALUE(B178),PROYECCIONES!B:D,3,FALSE),0)),1 + COUNTIF($A$2:A177,"&gt;0"))</f>
        <v>0</v>
      </c>
      <c r="B178" s="185" t="s">
        <v>591</v>
      </c>
      <c r="C178" s="185" t="s">
        <v>203</v>
      </c>
      <c r="D178" s="53">
        <v>0</v>
      </c>
      <c r="E178" s="53">
        <v>206500</v>
      </c>
      <c r="F178" s="53">
        <v>0</v>
      </c>
      <c r="G178" s="53">
        <v>206500</v>
      </c>
    </row>
    <row r="179" spans="1:7">
      <c r="A179">
        <f>IFERROR(IF(B179="",0,IF(VALUE(LEFT(B179,1))&gt;3,VLOOKUP(VALUE(B179),PROYECCIONES!B:D,3,FALSE),0)),1 + COUNTIF($A$2:A178,"&gt;0"))</f>
        <v>0</v>
      </c>
      <c r="B179" s="185" t="s">
        <v>442</v>
      </c>
      <c r="C179" s="185" t="s">
        <v>443</v>
      </c>
      <c r="D179" s="53">
        <v>0</v>
      </c>
      <c r="E179" s="53">
        <v>5000</v>
      </c>
      <c r="F179" s="53">
        <v>0</v>
      </c>
      <c r="G179" s="53">
        <v>5000</v>
      </c>
    </row>
    <row r="180" spans="1:7">
      <c r="A180">
        <f>IFERROR(IF(B180="",0,IF(VALUE(LEFT(B180,1))&gt;3,VLOOKUP(VALUE(B180),PROYECCIONES!B:D,3,FALSE),0)),1 + COUNTIF($A$2:A179,"&gt;0"))</f>
        <v>0</v>
      </c>
      <c r="B180" s="185" t="s">
        <v>348</v>
      </c>
      <c r="C180" s="185" t="s">
        <v>106</v>
      </c>
      <c r="D180" s="53">
        <v>0</v>
      </c>
      <c r="E180" s="53">
        <v>2459658.91</v>
      </c>
      <c r="F180" s="53">
        <v>0</v>
      </c>
      <c r="G180" s="53">
        <v>2459658.91</v>
      </c>
    </row>
    <row r="181" spans="1:7">
      <c r="A181">
        <f>IFERROR(IF(B181="",0,IF(VALUE(LEFT(B181,1))&gt;3,VLOOKUP(VALUE(B181),PROYECCIONES!B:D,3,FALSE),0)),1 + COUNTIF($A$2:A180,"&gt;0"))</f>
        <v>0</v>
      </c>
      <c r="B181" s="185" t="s">
        <v>370</v>
      </c>
      <c r="C181" s="185" t="s">
        <v>169</v>
      </c>
      <c r="D181" s="53">
        <v>0</v>
      </c>
      <c r="E181" s="53">
        <v>9928.5400000000009</v>
      </c>
      <c r="F181" s="53">
        <v>0</v>
      </c>
      <c r="G181" s="53">
        <v>9928.5400000000009</v>
      </c>
    </row>
    <row r="182" spans="1:7">
      <c r="A182">
        <f>IFERROR(IF(B182="",0,IF(VALUE(LEFT(B182,1))&gt;3,VLOOKUP(VALUE(B182),PROYECCIONES!B:D,3,FALSE),0)),1 + COUNTIF($A$2:A181,"&gt;0"))</f>
        <v>0</v>
      </c>
      <c r="B182" s="185" t="s">
        <v>371</v>
      </c>
      <c r="C182" s="185" t="s">
        <v>197</v>
      </c>
      <c r="D182" s="53">
        <v>0</v>
      </c>
      <c r="E182" s="53">
        <v>70000</v>
      </c>
      <c r="F182" s="53">
        <v>0</v>
      </c>
      <c r="G182" s="53">
        <v>70000</v>
      </c>
    </row>
    <row r="183" spans="1:7">
      <c r="A183">
        <f>IFERROR(IF(B183="",0,IF(VALUE(LEFT(B183,1))&gt;3,VLOOKUP(VALUE(B183),PROYECCIONES!B:D,3,FALSE),0)),1 + COUNTIF($A$2:A182,"&gt;0"))</f>
        <v>0</v>
      </c>
      <c r="B183" s="185" t="s">
        <v>349</v>
      </c>
      <c r="C183" s="185" t="s">
        <v>170</v>
      </c>
      <c r="D183" s="53">
        <v>-2.2351741790771501E-8</v>
      </c>
      <c r="E183" s="53">
        <v>11538105.98</v>
      </c>
      <c r="F183" s="53">
        <v>0</v>
      </c>
      <c r="G183" s="53">
        <v>11538105.98</v>
      </c>
    </row>
    <row r="184" spans="1:7">
      <c r="A184">
        <f>IFERROR(IF(B184="",0,IF(VALUE(LEFT(B184,1))&gt;3,VLOOKUP(VALUE(B184),PROYECCIONES!B:D,3,FALSE),0)),1 + COUNTIF($A$2:A183,"&gt;0"))</f>
        <v>0</v>
      </c>
      <c r="B184" s="185" t="s">
        <v>547</v>
      </c>
      <c r="C184" s="185" t="s">
        <v>190</v>
      </c>
      <c r="D184" s="53">
        <v>-4.65661287307739E-10</v>
      </c>
      <c r="E184" s="53">
        <v>50756.3</v>
      </c>
      <c r="F184" s="53">
        <v>0</v>
      </c>
      <c r="G184" s="53">
        <v>50756.299999999603</v>
      </c>
    </row>
    <row r="185" spans="1:7">
      <c r="A185">
        <f>IFERROR(IF(B185="",0,IF(VALUE(LEFT(B185,1))&gt;3,VLOOKUP(VALUE(B185),PROYECCIONES!B:D,3,FALSE),0)),1 + COUNTIF($A$2:A184,"&gt;0"))</f>
        <v>0</v>
      </c>
      <c r="B185" s="185" t="s">
        <v>533</v>
      </c>
      <c r="C185" s="185" t="s">
        <v>534</v>
      </c>
      <c r="D185" s="53">
        <v>0</v>
      </c>
      <c r="E185" s="53">
        <v>4425505.7699999996</v>
      </c>
      <c r="F185" s="53">
        <v>0</v>
      </c>
      <c r="G185" s="53">
        <v>4425505.7699999996</v>
      </c>
    </row>
    <row r="186" spans="1:7">
      <c r="A186">
        <f>IFERROR(IF(B186="",0,IF(VALUE(LEFT(B186,1))&gt;3,VLOOKUP(VALUE(B186),PROYECCIONES!B:D,3,FALSE),0)),1 + COUNTIF($A$2:A185,"&gt;0"))</f>
        <v>0</v>
      </c>
      <c r="B186" s="185" t="s">
        <v>571</v>
      </c>
      <c r="C186" s="185" t="s">
        <v>124</v>
      </c>
      <c r="D186" s="53">
        <v>0</v>
      </c>
      <c r="E186" s="53">
        <v>300000</v>
      </c>
      <c r="F186" s="53">
        <v>0</v>
      </c>
      <c r="G186" s="53">
        <v>300000</v>
      </c>
    </row>
    <row r="187" spans="1:7">
      <c r="A187">
        <f>IFERROR(IF(B187="",0,IF(VALUE(LEFT(B187,1))&gt;3,VLOOKUP(VALUE(B187),PROYECCIONES!B:D,3,FALSE),0)),1 + COUNTIF($A$2:A186,"&gt;0"))</f>
        <v>0</v>
      </c>
      <c r="B187" s="185" t="s">
        <v>466</v>
      </c>
      <c r="C187" s="185" t="s">
        <v>467</v>
      </c>
      <c r="D187" s="53">
        <v>0</v>
      </c>
      <c r="E187" s="53">
        <v>18000</v>
      </c>
      <c r="F187" s="53">
        <v>0</v>
      </c>
      <c r="G187" s="53">
        <v>18000</v>
      </c>
    </row>
    <row r="188" spans="1:7">
      <c r="A188">
        <f>IFERROR(IF(B188="",0,IF(VALUE(LEFT(B188,1))&gt;3,VLOOKUP(VALUE(B188),PROYECCIONES!B:D,3,FALSE),0)),1 + COUNTIF($A$2:A187,"&gt;0"))</f>
        <v>0</v>
      </c>
      <c r="B188" s="185" t="s">
        <v>350</v>
      </c>
      <c r="C188" s="185" t="s">
        <v>174</v>
      </c>
      <c r="D188" s="53">
        <v>0</v>
      </c>
      <c r="E188" s="53">
        <v>11709299.310000001</v>
      </c>
      <c r="F188" s="53">
        <v>0</v>
      </c>
      <c r="G188" s="53">
        <v>11709299.310000001</v>
      </c>
    </row>
    <row r="189" spans="1:7">
      <c r="A189">
        <f>IFERROR(IF(B189="",0,IF(VALUE(LEFT(B189,1))&gt;3,VLOOKUP(VALUE(B189),PROYECCIONES!B:D,3,FALSE),0)),1 + COUNTIF($A$2:A188,"&gt;0"))</f>
        <v>0</v>
      </c>
      <c r="B189" s="185" t="s">
        <v>422</v>
      </c>
      <c r="C189" s="185" t="s">
        <v>423</v>
      </c>
      <c r="D189" s="53">
        <v>0</v>
      </c>
      <c r="E189" s="53">
        <v>6034709.4199999999</v>
      </c>
      <c r="F189" s="53">
        <v>0</v>
      </c>
      <c r="G189" s="53">
        <v>6034709.4199999999</v>
      </c>
    </row>
    <row r="190" spans="1:7">
      <c r="A190">
        <f>IFERROR(IF(B190="",0,IF(VALUE(LEFT(B190,1))&gt;3,VLOOKUP(VALUE(B190),PROYECCIONES!B:D,3,FALSE),0)),1 + COUNTIF($A$2:A189,"&gt;0"))</f>
        <v>0</v>
      </c>
      <c r="B190" s="185" t="s">
        <v>351</v>
      </c>
      <c r="C190" s="185" t="s">
        <v>178</v>
      </c>
      <c r="D190" s="53">
        <v>0</v>
      </c>
      <c r="E190" s="53">
        <v>748353</v>
      </c>
      <c r="F190" s="53">
        <v>0</v>
      </c>
      <c r="G190" s="53">
        <v>748353</v>
      </c>
    </row>
    <row r="191" spans="1:7">
      <c r="A191">
        <f>IFERROR(IF(B191="",0,IF(VALUE(LEFT(B191,1))&gt;3,VLOOKUP(VALUE(B191),PROYECCIONES!B:D,3,FALSE),0)),1 + COUNTIF($A$2:A190,"&gt;0"))</f>
        <v>0</v>
      </c>
      <c r="B191" s="185" t="s">
        <v>352</v>
      </c>
      <c r="C191" s="185" t="s">
        <v>179</v>
      </c>
      <c r="D191" s="53">
        <v>0</v>
      </c>
      <c r="E191" s="53">
        <v>622151</v>
      </c>
      <c r="F191" s="53">
        <v>0</v>
      </c>
      <c r="G191" s="53">
        <v>622151</v>
      </c>
    </row>
    <row r="192" spans="1:7">
      <c r="A192">
        <f>IFERROR(IF(B192="",0,IF(VALUE(LEFT(B192,1))&gt;3,VLOOKUP(VALUE(B192),PROYECCIONES!B:D,3,FALSE),0)),1 + COUNTIF($A$2:A191,"&gt;0"))</f>
        <v>0</v>
      </c>
      <c r="B192" s="185" t="s">
        <v>397</v>
      </c>
      <c r="C192" s="185" t="s">
        <v>180</v>
      </c>
      <c r="D192" s="53">
        <v>0</v>
      </c>
      <c r="E192" s="53">
        <v>4482022.9000000004</v>
      </c>
      <c r="F192" s="53">
        <v>0</v>
      </c>
      <c r="G192" s="53">
        <v>4482022.9000000004</v>
      </c>
    </row>
    <row r="193" spans="1:7">
      <c r="A193">
        <f>IFERROR(IF(B193="",0,IF(VALUE(LEFT(B193,1))&gt;3,VLOOKUP(VALUE(B193),PROYECCIONES!B:D,3,FALSE),0)),1 + COUNTIF($A$2:A192,"&gt;0"))</f>
        <v>0</v>
      </c>
      <c r="B193" s="185" t="s">
        <v>353</v>
      </c>
      <c r="C193" s="185" t="s">
        <v>181</v>
      </c>
      <c r="D193" s="53">
        <v>0</v>
      </c>
      <c r="E193" s="53">
        <v>2982767.91</v>
      </c>
      <c r="F193" s="53">
        <v>0</v>
      </c>
      <c r="G193" s="53">
        <v>2982767.91</v>
      </c>
    </row>
    <row r="194" spans="1:7">
      <c r="A194">
        <f>IFERROR(IF(B194="",0,IF(VALUE(LEFT(B194,1))&gt;3,VLOOKUP(VALUE(B194),PROYECCIONES!B:D,3,FALSE),0)),1 + COUNTIF($A$2:A193,"&gt;0"))</f>
        <v>0</v>
      </c>
      <c r="B194" s="185" t="s">
        <v>535</v>
      </c>
      <c r="C194" s="185" t="s">
        <v>183</v>
      </c>
      <c r="D194" s="53">
        <v>0</v>
      </c>
      <c r="E194" s="53">
        <v>389758.58</v>
      </c>
      <c r="F194" s="53">
        <v>0</v>
      </c>
      <c r="G194" s="53">
        <v>389758.58</v>
      </c>
    </row>
    <row r="195" spans="1:7">
      <c r="A195">
        <f>IFERROR(IF(B195="",0,IF(VALUE(LEFT(B195,1))&gt;3,VLOOKUP(VALUE(B195),PROYECCIONES!B:D,3,FALSE),0)),1 + COUNTIF($A$2:A194,"&gt;0"))</f>
        <v>0</v>
      </c>
      <c r="B195" s="185" t="s">
        <v>354</v>
      </c>
      <c r="C195" s="185" t="s">
        <v>107</v>
      </c>
      <c r="D195" s="53">
        <v>0</v>
      </c>
      <c r="E195" s="53">
        <v>41068.589999999997</v>
      </c>
      <c r="F195" s="53">
        <v>0</v>
      </c>
      <c r="G195" s="53">
        <v>41068.590000000098</v>
      </c>
    </row>
    <row r="196" spans="1:7">
      <c r="A196">
        <f>IFERROR(IF(B196="",0,IF(VALUE(LEFT(B196,1))&gt;3,VLOOKUP(VALUE(B196),PROYECCIONES!B:D,3,FALSE),0)),1 + COUNTIF($A$2:A195,"&gt;0"))</f>
        <v>0</v>
      </c>
      <c r="B196" s="185" t="s">
        <v>572</v>
      </c>
      <c r="C196" s="185" t="s">
        <v>573</v>
      </c>
      <c r="D196" s="53">
        <v>0</v>
      </c>
      <c r="E196" s="53">
        <v>423414.15</v>
      </c>
      <c r="F196" s="53">
        <v>0</v>
      </c>
      <c r="G196" s="53">
        <v>423414.15</v>
      </c>
    </row>
    <row r="197" spans="1:7">
      <c r="A197">
        <f>IFERROR(IF(B197="",0,IF(VALUE(LEFT(B197,1))&gt;3,VLOOKUP(VALUE(B197),PROYECCIONES!B:D,3,FALSE),0)),1 + COUNTIF($A$2:A196,"&gt;0"))</f>
        <v>0</v>
      </c>
      <c r="B197" s="185" t="s">
        <v>574</v>
      </c>
      <c r="C197" s="185" t="s">
        <v>575</v>
      </c>
      <c r="D197" s="53">
        <v>0</v>
      </c>
      <c r="E197" s="53">
        <v>36641.279999999999</v>
      </c>
      <c r="F197" s="53">
        <v>0</v>
      </c>
      <c r="G197" s="53">
        <v>36641.279999999999</v>
      </c>
    </row>
    <row r="198" spans="1:7">
      <c r="A198">
        <f>IFERROR(IF(B198="",0,IF(VALUE(LEFT(B198,1))&gt;3,VLOOKUP(VALUE(B198),PROYECCIONES!B:D,3,FALSE),0)),1 + COUNTIF($A$2:A197,"&gt;0"))</f>
        <v>0</v>
      </c>
      <c r="B198" s="185" t="s">
        <v>372</v>
      </c>
      <c r="C198" s="185" t="s">
        <v>184</v>
      </c>
      <c r="D198" s="53">
        <v>0</v>
      </c>
      <c r="E198" s="53">
        <v>182000</v>
      </c>
      <c r="F198" s="53">
        <v>0</v>
      </c>
      <c r="G198" s="53">
        <v>182000</v>
      </c>
    </row>
    <row r="199" spans="1:7">
      <c r="A199">
        <f>IFERROR(IF(B199="",0,IF(VALUE(LEFT(B199,1))&gt;3,VLOOKUP(VALUE(B199),PROYECCIONES!B:D,3,FALSE),0)),1 + COUNTIF($A$2:A198,"&gt;0"))</f>
        <v>0</v>
      </c>
      <c r="B199" s="185" t="s">
        <v>355</v>
      </c>
      <c r="C199" s="185" t="s">
        <v>185</v>
      </c>
      <c r="D199" s="53">
        <v>0</v>
      </c>
      <c r="E199" s="53">
        <v>1050000</v>
      </c>
      <c r="F199" s="53">
        <v>0</v>
      </c>
      <c r="G199" s="53">
        <v>1050000</v>
      </c>
    </row>
    <row r="200" spans="1:7">
      <c r="A200">
        <f>IFERROR(IF(B200="",0,IF(VALUE(LEFT(B200,1))&gt;3,VLOOKUP(VALUE(B200),PROYECCIONES!B:D,3,FALSE),0)),1 + COUNTIF($A$2:A199,"&gt;0"))</f>
        <v>0</v>
      </c>
      <c r="B200" s="185" t="s">
        <v>356</v>
      </c>
      <c r="C200" s="185" t="s">
        <v>99</v>
      </c>
      <c r="D200" s="53">
        <v>-3.4924596548080398E-10</v>
      </c>
      <c r="E200" s="53">
        <v>7328.58</v>
      </c>
      <c r="F200" s="53">
        <v>413.82</v>
      </c>
      <c r="G200" s="53">
        <v>6914.7599999996601</v>
      </c>
    </row>
    <row r="201" spans="1:7">
      <c r="A201">
        <f>IFERROR(IF(B201="",0,IF(VALUE(LEFT(B201,1))&gt;3,VLOOKUP(VALUE(B201),PROYECCIONES!B:D,3,FALSE),0)),1 + COUNTIF($A$2:A200,"&gt;0"))</f>
        <v>0</v>
      </c>
      <c r="B201" s="185" t="s">
        <v>415</v>
      </c>
      <c r="C201" s="185" t="s">
        <v>100</v>
      </c>
      <c r="D201" s="53">
        <v>0</v>
      </c>
      <c r="E201" s="53">
        <v>62051251</v>
      </c>
      <c r="F201" s="53">
        <v>0</v>
      </c>
      <c r="G201" s="53">
        <v>62051251</v>
      </c>
    </row>
    <row r="202" spans="1:7">
      <c r="A202">
        <f>IFERROR(IF(B202="",0,IF(VALUE(LEFT(B202,1))&gt;3,VLOOKUP(VALUE(B202),PROYECCIONES!B:D,3,FALSE),0)),1 + COUNTIF($A$2:A201,"&gt;0"))</f>
        <v>0</v>
      </c>
      <c r="B202" s="185" t="s">
        <v>416</v>
      </c>
      <c r="C202" s="185" t="s">
        <v>101</v>
      </c>
      <c r="D202" s="53">
        <v>0</v>
      </c>
      <c r="E202" s="53">
        <v>2353941</v>
      </c>
      <c r="F202" s="53">
        <v>0</v>
      </c>
      <c r="G202" s="53">
        <v>2353941</v>
      </c>
    </row>
    <row r="203" spans="1:7">
      <c r="A203">
        <f>IFERROR(IF(B203="",0,IF(VALUE(LEFT(B203,1))&gt;3,VLOOKUP(VALUE(B203),PROYECCIONES!B:D,3,FALSE),0)),1 + COUNTIF($A$2:A202,"&gt;0"))</f>
        <v>0</v>
      </c>
      <c r="B203" s="185" t="s">
        <v>398</v>
      </c>
      <c r="C203" s="185" t="s">
        <v>96</v>
      </c>
      <c r="D203" s="53">
        <v>0</v>
      </c>
      <c r="E203" s="53">
        <v>5555296</v>
      </c>
      <c r="F203" s="53">
        <v>0</v>
      </c>
      <c r="G203" s="53">
        <v>5555296</v>
      </c>
    </row>
    <row r="204" spans="1:7">
      <c r="A204">
        <f>IFERROR(IF(B204="",0,IF(VALUE(LEFT(B204,1))&gt;3,VLOOKUP(VALUE(B204),PROYECCIONES!B:D,3,FALSE),0)),1 + COUNTIF($A$2:A203,"&gt;0"))</f>
        <v>0</v>
      </c>
      <c r="B204" s="185" t="s">
        <v>399</v>
      </c>
      <c r="C204" s="185" t="s">
        <v>97</v>
      </c>
      <c r="D204" s="53">
        <v>0</v>
      </c>
      <c r="E204" s="53">
        <v>4756836</v>
      </c>
      <c r="F204" s="53">
        <v>0</v>
      </c>
      <c r="G204" s="53">
        <v>4756836</v>
      </c>
    </row>
    <row r="205" spans="1:7">
      <c r="A205">
        <f>IFERROR(IF(B205="",0,IF(VALUE(LEFT(B205,1))&gt;3,VLOOKUP(VALUE(B205),PROYECCIONES!B:D,3,FALSE),0)),1 + COUNTIF($A$2:A204,"&gt;0"))</f>
        <v>0</v>
      </c>
      <c r="B205" s="185" t="s">
        <v>400</v>
      </c>
      <c r="C205" s="185" t="s">
        <v>98</v>
      </c>
      <c r="D205" s="53">
        <v>0</v>
      </c>
      <c r="E205" s="53">
        <v>2654588</v>
      </c>
      <c r="F205" s="53">
        <v>0</v>
      </c>
      <c r="G205" s="53">
        <v>2654588</v>
      </c>
    </row>
    <row r="206" spans="1:7">
      <c r="A206">
        <f>IFERROR(IF(B206="",0,IF(VALUE(LEFT(B206,1))&gt;3,VLOOKUP(VALUE(B206),PROYECCIONES!B:D,3,FALSE),0)),1 + COUNTIF($A$2:A205,"&gt;0"))</f>
        <v>0</v>
      </c>
      <c r="B206" s="185" t="s">
        <v>401</v>
      </c>
      <c r="C206" s="185" t="s">
        <v>204</v>
      </c>
      <c r="D206" s="53">
        <v>0</v>
      </c>
      <c r="E206" s="53">
        <v>332177</v>
      </c>
      <c r="F206" s="53">
        <v>0</v>
      </c>
      <c r="G206" s="53">
        <v>332177</v>
      </c>
    </row>
    <row r="207" spans="1:7">
      <c r="A207">
        <f>IFERROR(IF(B207="",0,IF(VALUE(LEFT(B207,1))&gt;3,VLOOKUP(VALUE(B207),PROYECCIONES!B:D,3,FALSE),0)),1 + COUNTIF($A$2:A206,"&gt;0"))</f>
        <v>0</v>
      </c>
      <c r="B207" s="185" t="s">
        <v>402</v>
      </c>
      <c r="C207" s="185" t="s">
        <v>205</v>
      </c>
      <c r="D207" s="53">
        <v>0</v>
      </c>
      <c r="E207" s="53">
        <v>7695350</v>
      </c>
      <c r="F207" s="53">
        <v>0</v>
      </c>
      <c r="G207" s="53">
        <v>7695350</v>
      </c>
    </row>
    <row r="208" spans="1:7">
      <c r="A208">
        <f>IFERROR(IF(B208="",0,IF(VALUE(LEFT(B208,1))&gt;3,VLOOKUP(VALUE(B208),PROYECCIONES!B:D,3,FALSE),0)),1 + COUNTIF($A$2:A207,"&gt;0"))</f>
        <v>0</v>
      </c>
      <c r="B208" s="185" t="s">
        <v>403</v>
      </c>
      <c r="C208" s="185" t="s">
        <v>206</v>
      </c>
      <c r="D208" s="53">
        <v>0</v>
      </c>
      <c r="E208" s="53">
        <v>2545400</v>
      </c>
      <c r="F208" s="53">
        <v>0</v>
      </c>
      <c r="G208" s="53">
        <v>2545400</v>
      </c>
    </row>
    <row r="209" spans="1:7">
      <c r="A209">
        <f>IFERROR(IF(B209="",0,IF(VALUE(LEFT(B209,1))&gt;3,VLOOKUP(VALUE(B209),PROYECCIONES!B:D,3,FALSE),0)),1 + COUNTIF($A$2:A208,"&gt;0"))</f>
        <v>0</v>
      </c>
      <c r="B209" s="185" t="s">
        <v>417</v>
      </c>
      <c r="C209" s="185" t="s">
        <v>164</v>
      </c>
      <c r="D209" s="53">
        <v>0</v>
      </c>
      <c r="E209" s="53">
        <v>16800000</v>
      </c>
      <c r="F209" s="53">
        <v>0</v>
      </c>
      <c r="G209" s="53">
        <v>16800000</v>
      </c>
    </row>
    <row r="210" spans="1:7">
      <c r="A210">
        <f>IFERROR(IF(B210="",0,IF(VALUE(LEFT(B210,1))&gt;3,VLOOKUP(VALUE(B210),PROYECCIONES!B:D,3,FALSE),0)),1 + COUNTIF($A$2:A209,"&gt;0"))</f>
        <v>0</v>
      </c>
      <c r="B210" s="185" t="s">
        <v>404</v>
      </c>
      <c r="C210" s="185" t="s">
        <v>102</v>
      </c>
      <c r="D210" s="53">
        <v>0</v>
      </c>
      <c r="E210" s="53">
        <v>666641</v>
      </c>
      <c r="F210" s="53">
        <v>0</v>
      </c>
      <c r="G210" s="53">
        <v>666641</v>
      </c>
    </row>
    <row r="211" spans="1:7">
      <c r="A211">
        <f>IFERROR(IF(B211="",0,IF(VALUE(LEFT(B211,1))&gt;3,VLOOKUP(VALUE(B211),PROYECCIONES!B:D,3,FALSE),0)),1 + COUNTIF($A$2:A210,"&gt;0"))</f>
        <v>0</v>
      </c>
      <c r="B211" s="185" t="s">
        <v>357</v>
      </c>
      <c r="C211" s="185" t="s">
        <v>357</v>
      </c>
      <c r="D211" s="53">
        <v>0</v>
      </c>
      <c r="E211" s="53" t="s">
        <v>615</v>
      </c>
      <c r="F211" s="53" t="s">
        <v>615</v>
      </c>
      <c r="G211" s="53">
        <v>0</v>
      </c>
    </row>
    <row r="212" spans="1:7">
      <c r="A212">
        <f>IFERROR(IF(B212="",0,IF(VALUE(LEFT(B212,1))&gt;3,VLOOKUP(VALUE(B212),PROYECCIONES!B:D,3,FALSE),0)),1 + COUNTIF($A$2:A211,"&gt;0"))</f>
        <v>0</v>
      </c>
    </row>
    <row r="213" spans="1:7">
      <c r="A213">
        <f>IFERROR(IF(B213="",0,IF(VALUE(LEFT(B213,1))&gt;3,VLOOKUP(VALUE(B213),PROYECCIONES!B:D,3,FALSE),0)),1 + COUNTIF($A$2:A212,"&gt;0"))</f>
        <v>0</v>
      </c>
    </row>
    <row r="214" spans="1:7">
      <c r="A214">
        <f>IFERROR(IF(B214="",0,IF(VALUE(LEFT(B214,1))&gt;3,VLOOKUP(VALUE(B214),PROYECCIONES!B:D,3,FALSE),0)),1 + COUNTIF($A$2:A213,"&gt;0"))</f>
        <v>0</v>
      </c>
    </row>
    <row r="215" spans="1:7">
      <c r="A215">
        <f>IFERROR(IF(B215="",0,IF(VALUE(LEFT(B215,1))&gt;3,VLOOKUP(VALUE(B215),PROYECCIONES!B:D,3,FALSE),0)),1 + COUNTIF($A$2:A214,"&gt;0"))</f>
        <v>0</v>
      </c>
    </row>
    <row r="216" spans="1:7">
      <c r="A216">
        <f>IFERROR(IF(B216="",0,IF(VALUE(LEFT(B216,1))&gt;3,VLOOKUP(VALUE(B216),PROYECCIONES!B:D,3,FALSE),0)),1 + COUNTIF($A$2:A215,"&gt;0"))</f>
        <v>0</v>
      </c>
    </row>
    <row r="217" spans="1:7">
      <c r="A217">
        <f>IFERROR(IF(B217="",0,IF(VALUE(LEFT(B217,1))&gt;3,VLOOKUP(VALUE(B217),PROYECCIONES!B:D,3,FALSE),0)),1 + COUNTIF($A$2:A216,"&gt;0"))</f>
        <v>0</v>
      </c>
    </row>
    <row r="218" spans="1:7">
      <c r="A218">
        <f>IFERROR(IF(B218="",0,IF(VALUE(LEFT(B218,1))&gt;3,VLOOKUP(VALUE(B218),PROYECCIONES!B:D,3,FALSE),0)),1 + COUNTIF($A$2:A217,"&gt;0"))</f>
        <v>0</v>
      </c>
    </row>
    <row r="219" spans="1:7">
      <c r="A219">
        <f>IFERROR(IF(B219="",0,IF(VALUE(LEFT(B219,1))&gt;3,VLOOKUP(VALUE(B219),PROYECCIONES!B:D,3,FALSE),0)),1 + COUNTIF($A$2:A218,"&gt;0"))</f>
        <v>0</v>
      </c>
    </row>
    <row r="220" spans="1:7">
      <c r="A220">
        <f>IFERROR(IF(B220="",0,IF(VALUE(LEFT(B220,1))&gt;3,VLOOKUP(VALUE(B220),PROYECCIONES!B:D,3,FALSE),0)),1 + COUNTIF($A$2:A219,"&gt;0"))</f>
        <v>0</v>
      </c>
    </row>
    <row r="221" spans="1:7">
      <c r="A221">
        <f>IFERROR(IF(B221="",0,IF(VALUE(LEFT(B221,1))&gt;3,VLOOKUP(VALUE(B221),PROYECCIONES!B:D,3,FALSE),0)),1 + COUNTIF($A$2:A220,"&gt;0"))</f>
        <v>0</v>
      </c>
    </row>
    <row r="222" spans="1:7">
      <c r="A222">
        <f>IFERROR(IF(B222="",0,IF(VALUE(LEFT(B222,1))&gt;3,VLOOKUP(VALUE(B222),PROYECCIONES!B:D,3,FALSE),0)),1 + COUNTIF($A$2:A221,"&gt;0"))</f>
        <v>0</v>
      </c>
    </row>
    <row r="223" spans="1:7">
      <c r="A223">
        <f>IFERROR(IF(B223="",0,IF(VALUE(LEFT(B223,1))&gt;3,VLOOKUP(VALUE(B223),PROYECCIONES!B:D,3,FALSE),0)),1 + COUNTIF($A$2:A222,"&gt;0"))</f>
        <v>0</v>
      </c>
    </row>
    <row r="224" spans="1:7">
      <c r="A224">
        <f>IFERROR(IF(B224="",0,IF(VALUE(LEFT(B224,1))&gt;3,VLOOKUP(VALUE(B224),PROYECCIONES!B:D,3,FALSE),0)),1 + COUNTIF($A$2:A223,"&gt;0"))</f>
        <v>0</v>
      </c>
    </row>
    <row r="225" spans="1:1">
      <c r="A225">
        <f>IFERROR(IF(B225="",0,IF(VALUE(LEFT(B225,1))&gt;3,VLOOKUP(VALUE(B225),PROYECCIONES!B:D,3,FALSE),0)),1 + COUNTIF($A$2:A224,"&gt;0"))</f>
        <v>0</v>
      </c>
    </row>
    <row r="226" spans="1:1">
      <c r="A226">
        <f>IFERROR(IF(B226="",0,IF(VALUE(LEFT(B226,1))&gt;3,VLOOKUP(VALUE(B226),PROYECCIONES!B:D,3,FALSE),0)),1 + COUNTIF($A$2:A225,"&gt;0"))</f>
        <v>0</v>
      </c>
    </row>
    <row r="227" spans="1:1">
      <c r="A227">
        <f>IFERROR(IF(B227="",0,IF(VALUE(LEFT(B227,1))&gt;3,VLOOKUP(VALUE(B227),PROYECCIONES!B:D,3,FALSE),0)),1 + COUNTIF($A$2:A226,"&gt;0"))</f>
        <v>0</v>
      </c>
    </row>
    <row r="228" spans="1:1">
      <c r="A228">
        <f>IFERROR(IF(B228="",0,IF(VALUE(LEFT(B228,1))&gt;3,VLOOKUP(VALUE(B228),PROYECCIONES!B:D,3,FALSE),0)),1 + COUNTIF($A$2:A227,"&gt;0"))</f>
        <v>0</v>
      </c>
    </row>
    <row r="229" spans="1:1">
      <c r="A229">
        <f>IFERROR(IF(B229="",0,IF(VALUE(LEFT(B229,1))&gt;3,VLOOKUP(VALUE(B229),PROYECCIONES!B:D,3,FALSE),0)),1 + COUNTIF($A$2:A228,"&gt;0"))</f>
        <v>0</v>
      </c>
    </row>
    <row r="230" spans="1:1">
      <c r="A230">
        <f>IFERROR(IF(B230="",0,IF(VALUE(LEFT(B230,1))&gt;3,VLOOKUP(VALUE(B230),PROYECCIONES!B:D,3,FALSE),0)),1 + COUNTIF($A$2:A229,"&gt;0"))</f>
        <v>0</v>
      </c>
    </row>
    <row r="231" spans="1:1">
      <c r="A231">
        <f>IFERROR(IF(B231="",0,IF(VALUE(LEFT(B231,1))&gt;3,VLOOKUP(VALUE(B231),PROYECCIONES!B:D,3,FALSE),0)),1 + COUNTIF($A$2:A230,"&gt;0"))</f>
        <v>0</v>
      </c>
    </row>
    <row r="232" spans="1:1">
      <c r="A232">
        <f>IFERROR(IF(B232="",0,IF(VALUE(LEFT(B232,1))&gt;3,VLOOKUP(VALUE(B232),PROYECCIONES!B:D,3,FALSE),0)),1 + COUNTIF($A$2:A231,"&gt;0"))</f>
        <v>0</v>
      </c>
    </row>
    <row r="233" spans="1:1">
      <c r="A233">
        <f>IFERROR(IF(B233="",0,IF(VALUE(LEFT(B233,1))&gt;3,VLOOKUP(VALUE(B233),PROYECCIONES!B:D,3,FALSE),0)),1 + COUNTIF($A$2:A232,"&gt;0"))</f>
        <v>0</v>
      </c>
    </row>
    <row r="234" spans="1:1">
      <c r="A234">
        <f>IFERROR(IF(B234="",0,IF(VALUE(LEFT(B234,1))&gt;3,VLOOKUP(VALUE(B234),PROYECCIONES!B:D,3,FALSE),0)),1 + COUNTIF($A$2:A233,"&gt;0"))</f>
        <v>0</v>
      </c>
    </row>
    <row r="235" spans="1:1">
      <c r="A235">
        <f>IFERROR(IF(B235="",0,IF(VALUE(LEFT(B235,1))&gt;3,VLOOKUP(VALUE(B235),PROYECCIONES!B:D,3,FALSE),0)),1 + COUNTIF($A$2:A234,"&gt;0"))</f>
        <v>0</v>
      </c>
    </row>
    <row r="236" spans="1:1">
      <c r="A236">
        <f>IFERROR(IF(B236="",0,IF(VALUE(LEFT(B236,1))&gt;3,VLOOKUP(VALUE(B236),PROYECCIONES!B:D,3,FALSE),0)),1 + COUNTIF($A$2:A235,"&gt;0"))</f>
        <v>0</v>
      </c>
    </row>
    <row r="237" spans="1:1">
      <c r="A237">
        <f>IFERROR(IF(B237="",0,IF(VALUE(LEFT(B237,1))&gt;3,VLOOKUP(VALUE(B237),PROYECCIONES!B:D,3,FALSE),0)),1 + COUNTIF($A$2:A236,"&gt;0"))</f>
        <v>0</v>
      </c>
    </row>
    <row r="238" spans="1:1">
      <c r="A238">
        <f>IFERROR(IF(B238="",0,IF(VALUE(LEFT(B238,1))&gt;3,VLOOKUP(VALUE(B238),PROYECCIONES!B:D,3,FALSE),0)),1 + COUNTIF($A$2:A237,"&gt;0"))</f>
        <v>0</v>
      </c>
    </row>
    <row r="239" spans="1:1">
      <c r="A239">
        <f>IFERROR(IF(B239="",0,IF(VALUE(LEFT(B239,1))&gt;3,VLOOKUP(VALUE(B239),PROYECCIONES!B:D,3,FALSE),0)),1 + COUNTIF($A$2:A238,"&gt;0"))</f>
        <v>0</v>
      </c>
    </row>
    <row r="240" spans="1:1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autoFilter ref="A2:I2" xr:uid="{EC1BB005-C061-4BB9-888B-C42BFA3E17A1}"/>
  <mergeCells count="4">
    <mergeCell ref="B1:C1"/>
    <mergeCell ref="D1:D2"/>
    <mergeCell ref="E1:F1"/>
    <mergeCell ref="G1:G2"/>
  </mergeCells>
  <conditionalFormatting sqref="B212:B1048576">
    <cfRule type="expression" dxfId="6" priority="1">
      <formula>$A212="No Agregada"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F56A-B616-4874-A71F-F92A0BF4D757}">
  <sheetPr codeName="Hoja9"/>
  <dimension ref="A1:M300"/>
  <sheetViews>
    <sheetView topLeftCell="B1" workbookViewId="0">
      <pane ySplit="2" topLeftCell="A3" activePane="bottomLeft" state="frozen"/>
      <selection activeCell="K13" sqref="K13"/>
      <selection pane="bottomLeft" activeCell="Q15" sqref="Q15"/>
    </sheetView>
  </sheetViews>
  <sheetFormatPr baseColWidth="10" defaultRowHeight="15"/>
  <cols>
    <col min="1" max="1" width="18.28515625" hidden="1" customWidth="1"/>
    <col min="2" max="2" width="11.42578125" style="52"/>
    <col min="3" max="3" width="30.5703125" customWidth="1"/>
    <col min="4" max="7" width="12.5703125" style="54" bestFit="1" customWidth="1"/>
    <col min="9" max="13" width="11.42578125" hidden="1" customWidth="1"/>
  </cols>
  <sheetData>
    <row r="1" spans="1:13">
      <c r="B1" s="284" t="s">
        <v>94</v>
      </c>
      <c r="C1" s="285"/>
      <c r="D1" s="286" t="s">
        <v>265</v>
      </c>
      <c r="E1" s="288" t="s">
        <v>266</v>
      </c>
      <c r="F1" s="289"/>
      <c r="G1" s="286" t="s">
        <v>267</v>
      </c>
    </row>
    <row r="2" spans="1:13">
      <c r="B2" s="51" t="s">
        <v>268</v>
      </c>
      <c r="C2" s="51" t="s">
        <v>269</v>
      </c>
      <c r="D2" s="287"/>
      <c r="E2" s="65" t="s">
        <v>270</v>
      </c>
      <c r="F2" s="65" t="s">
        <v>271</v>
      </c>
      <c r="G2" s="287"/>
    </row>
    <row r="3" spans="1:13">
      <c r="A3">
        <f>IFERROR(IF(B3="",0,IF(VALUE(LEFT(B3,1))&gt;3,VLOOKUP(VALUE(B3),PROYECCIONES!B:D,3,FALSE),0)),1 + COUNTIF($A$2:A2,"&gt;0"))</f>
        <v>0</v>
      </c>
      <c r="B3" s="52" t="s">
        <v>358</v>
      </c>
      <c r="C3" s="52" t="s">
        <v>359</v>
      </c>
      <c r="D3" s="53">
        <v>3385</v>
      </c>
      <c r="E3" s="53">
        <v>3685221</v>
      </c>
      <c r="F3" s="53">
        <v>3294550</v>
      </c>
      <c r="G3" s="53">
        <v>394056</v>
      </c>
      <c r="I3">
        <f>COUNTIF(A3:A300,"&gt;0")</f>
        <v>0</v>
      </c>
      <c r="J3" t="s">
        <v>3</v>
      </c>
      <c r="K3" t="s">
        <v>223</v>
      </c>
      <c r="L3" t="s">
        <v>224</v>
      </c>
    </row>
    <row r="4" spans="1:13">
      <c r="A4">
        <f>IFERROR(IF(B4="",0,IF(VALUE(LEFT(B4,1))&gt;3,VLOOKUP(VALUE(B4),PROYECCIONES!B:D,3,FALSE),0)),1 + COUNTIF($A$2:A3,"&gt;0"))</f>
        <v>0</v>
      </c>
      <c r="B4" s="52" t="s">
        <v>548</v>
      </c>
      <c r="C4" s="52" t="s">
        <v>549</v>
      </c>
      <c r="D4" s="53">
        <v>0</v>
      </c>
      <c r="E4" s="53">
        <v>600000</v>
      </c>
      <c r="F4" s="53">
        <v>0</v>
      </c>
      <c r="G4" s="53">
        <v>600000</v>
      </c>
      <c r="I4" s="123">
        <v>1</v>
      </c>
      <c r="J4" t="str">
        <f>IFERROR(VLOOKUP(I4,'Balance a Ago'!$A$3:$C$300,2,FALSE),"")</f>
        <v/>
      </c>
      <c r="K4" t="str">
        <f>IFERROR(VLOOKUP(I4,'Balance a Ago'!$A$3:$C$300,3,FALSE),"")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</row>
    <row r="5" spans="1:13">
      <c r="A5">
        <f>IFERROR(IF(B5="",0,IF(VALUE(LEFT(B5,1))&gt;3,VLOOKUP(VALUE(B5),PROYECCIONES!B:D,3,FALSE),0)),1 + COUNTIF($A$2:A4,"&gt;0"))</f>
        <v>0</v>
      </c>
      <c r="B5" s="52" t="s">
        <v>272</v>
      </c>
      <c r="C5" s="52" t="s">
        <v>468</v>
      </c>
      <c r="D5" s="53">
        <v>3602229.1400008202</v>
      </c>
      <c r="E5" s="53">
        <v>423642305.50999999</v>
      </c>
      <c r="F5" s="53">
        <v>411405413.10000002</v>
      </c>
      <c r="G5" s="53">
        <v>15839121.5500011</v>
      </c>
      <c r="I5" s="123">
        <v>2</v>
      </c>
      <c r="J5" t="str">
        <f>IFERROR(VLOOKUP(I5,'Balance a Ago'!$A$3:$C$300,2,FALSE),"")</f>
        <v/>
      </c>
      <c r="K5" t="str">
        <f>IFERROR(VLOOKUP(I5,'Balance a Ago'!$A$3:$C$300,3,FALSE),"")</f>
        <v/>
      </c>
      <c r="L5" t="str">
        <f>IFERROR(IF(AND(VALUE(LEFT(J5,1))&gt;=6,VALUE(LEFT(J5,1))&lt;=7),_xlfn.XMATCH(VALUE(J5),PROYECCIONES!$B$1:$B$38,-1,1),_xlfn.XMATCH(VALUE(J5),PROYECCIONES!$B$1:$B$333,-1,1)),"")</f>
        <v/>
      </c>
    </row>
    <row r="6" spans="1:13">
      <c r="A6">
        <f>IFERROR(IF(B6="",0,IF(VALUE(LEFT(B6,1))&gt;3,VLOOKUP(VALUE(B6),PROYECCIONES!B:D,3,FALSE),0)),1 + COUNTIF($A$2:A5,"&gt;0"))</f>
        <v>0</v>
      </c>
      <c r="B6" s="52" t="s">
        <v>273</v>
      </c>
      <c r="C6" s="52" t="s">
        <v>469</v>
      </c>
      <c r="D6" s="53">
        <v>2038.61000000685</v>
      </c>
      <c r="E6" s="53">
        <v>0</v>
      </c>
      <c r="F6" s="53">
        <v>0</v>
      </c>
      <c r="G6" s="53">
        <v>2038.61000000685</v>
      </c>
      <c r="I6" s="123">
        <v>3</v>
      </c>
      <c r="J6" t="str">
        <f>IFERROR(VLOOKUP(I6,'Balance a Ago'!$A$3:$C$300,2,FALSE),"")</f>
        <v/>
      </c>
      <c r="K6" t="str">
        <f>IFERROR(VLOOKUP(I6,'Balance a Ago'!$A$3:$C$300,3,FALSE),"")</f>
        <v/>
      </c>
      <c r="L6" t="str">
        <f>IFERROR(IF(AND(VALUE(LEFT(J6,1))&gt;=6,VALUE(LEFT(J6,1))&lt;=7),_xlfn.XMATCH(VALUE(J6),PROYECCIONES!$B$1:$B$38,-1,1),_xlfn.XMATCH(VALUE(J6),PROYECCIONES!$B$1:$B$333,-1,1)),"")</f>
        <v/>
      </c>
    </row>
    <row r="7" spans="1:13">
      <c r="A7">
        <f>IFERROR(IF(B7="",0,IF(VALUE(LEFT(B7,1))&gt;3,VLOOKUP(VALUE(B7),PROYECCIONES!B:D,3,FALSE),0)),1 + COUNTIF($A$2:A6,"&gt;0"))</f>
        <v>0</v>
      </c>
      <c r="B7" s="52" t="s">
        <v>418</v>
      </c>
      <c r="C7" s="52" t="s">
        <v>470</v>
      </c>
      <c r="D7" s="53">
        <v>30748859.73</v>
      </c>
      <c r="E7" s="53">
        <v>162337480</v>
      </c>
      <c r="F7" s="53">
        <v>180531974.65000001</v>
      </c>
      <c r="G7" s="53">
        <v>12554365.08</v>
      </c>
      <c r="I7" s="123">
        <v>4</v>
      </c>
      <c r="J7" t="str">
        <f>IFERROR(VLOOKUP(I7,'Balance a Ago'!$A$3:$C$300,2,FALSE),"")</f>
        <v/>
      </c>
      <c r="K7" t="str">
        <f>IFERROR(VLOOKUP(I7,'Balance a Ago'!$A$3:$C$300,3,FALSE),"")</f>
        <v/>
      </c>
      <c r="L7" t="str">
        <f>IFERROR(IF(AND(VALUE(LEFT(J7,1))&gt;=6,VALUE(LEFT(J7,1))&lt;=7),_xlfn.XMATCH(VALUE(J7),PROYECCIONES!$B$1:$B$38,-1,1),_xlfn.XMATCH(VALUE(J7),PROYECCIONES!$B$1:$B$333,-1,1)),"")</f>
        <v/>
      </c>
    </row>
    <row r="8" spans="1:13">
      <c r="A8">
        <f>IFERROR(IF(B8="",0,IF(VALUE(LEFT(B8,1))&gt;3,VLOOKUP(VALUE(B8),PROYECCIONES!B:D,3,FALSE),0)),1 + COUNTIF($A$2:A7,"&gt;0"))</f>
        <v>0</v>
      </c>
      <c r="B8" s="52" t="s">
        <v>118</v>
      </c>
      <c r="C8" s="52" t="s">
        <v>225</v>
      </c>
      <c r="D8" s="53">
        <v>38903066.089999899</v>
      </c>
      <c r="E8" s="53">
        <v>531405338.91000003</v>
      </c>
      <c r="F8" s="53">
        <v>553649077</v>
      </c>
      <c r="G8" s="53">
        <v>16659328</v>
      </c>
      <c r="I8" s="123">
        <v>5</v>
      </c>
      <c r="J8" t="str">
        <f>IFERROR(VLOOKUP(I8,'Balance a Ago'!$A$3:$C$300,2,FALSE),"")</f>
        <v/>
      </c>
      <c r="K8" t="str">
        <f>IFERROR(VLOOKUP(I8,'Balance a Ago'!$A$3:$C$300,3,FALSE),"")</f>
        <v/>
      </c>
      <c r="L8" t="str">
        <f>IFERROR(IF(AND(VALUE(LEFT(J8,1))&gt;=6,VALUE(LEFT(J8,1))&lt;=7),_xlfn.XMATCH(VALUE(J8),PROYECCIONES!$B$1:$B$38,-1,1),_xlfn.XMATCH(VALUE(J8),PROYECCIONES!$B$1:$B$333,-1,1)),"")</f>
        <v/>
      </c>
    </row>
    <row r="9" spans="1:13">
      <c r="A9">
        <f>IFERROR(IF(B9="",0,IF(VALUE(LEFT(B9,1))&gt;3,VLOOKUP(VALUE(B9),PROYECCIONES!B:D,3,FALSE),0)),1 + COUNTIF($A$2:A8,"&gt;0"))</f>
        <v>0</v>
      </c>
      <c r="B9" s="52" t="s">
        <v>274</v>
      </c>
      <c r="C9" s="52" t="s">
        <v>226</v>
      </c>
      <c r="D9" s="53">
        <v>239052845.71000001</v>
      </c>
      <c r="E9" s="53">
        <v>100275624.19</v>
      </c>
      <c r="F9" s="53">
        <v>84122387.549999997</v>
      </c>
      <c r="G9" s="53">
        <v>255206082.34999999</v>
      </c>
      <c r="I9" s="123">
        <v>6</v>
      </c>
      <c r="J9" t="str">
        <f>IFERROR(VLOOKUP(I9,'Balance a Ago'!$A$3:$C$300,2,FALSE),"")</f>
        <v/>
      </c>
      <c r="K9" t="str">
        <f>IFERROR(VLOOKUP(I9,'Balance a Ago'!$A$3:$C$300,3,FALSE),"")</f>
        <v/>
      </c>
      <c r="L9" t="str">
        <f>IFERROR(IF(AND(VALUE(LEFT(J9,1))&gt;=6,VALUE(LEFT(J9,1))&lt;=7),_xlfn.XMATCH(VALUE(J9),PROYECCIONES!$B$1:$B$38,-1,1),_xlfn.XMATCH(VALUE(J9),PROYECCIONES!$B$1:$B$333,-1,1)),"")</f>
        <v/>
      </c>
    </row>
    <row r="10" spans="1:13">
      <c r="A10">
        <f>IFERROR(IF(B10="",0,IF(VALUE(LEFT(B10,1))&gt;3,VLOOKUP(VALUE(B10),PROYECCIONES!B:D,3,FALSE),0)),1 + COUNTIF($A$2:A9,"&gt;0"))</f>
        <v>0</v>
      </c>
      <c r="B10" s="52" t="s">
        <v>275</v>
      </c>
      <c r="C10" s="52" t="s">
        <v>227</v>
      </c>
      <c r="D10" s="53">
        <v>14200000</v>
      </c>
      <c r="E10" s="53">
        <v>34500000</v>
      </c>
      <c r="F10" s="53">
        <v>0</v>
      </c>
      <c r="G10" s="53">
        <v>48700000</v>
      </c>
      <c r="I10" s="123">
        <v>7</v>
      </c>
      <c r="J10" t="str">
        <f>IFERROR(VLOOKUP(I10,'Balance a Ago'!$A$3:$C$300,2,FALSE),"")</f>
        <v/>
      </c>
      <c r="K10" t="str">
        <f>IFERROR(VLOOKUP(I10,'Balance a Ago'!$A$3:$C$300,3,FALSE),"")</f>
        <v/>
      </c>
      <c r="L10" t="str">
        <f>IFERROR(IF(AND(VALUE(LEFT(J10,1))&gt;=6,VALUE(LEFT(J10,1))&lt;=7),_xlfn.XMATCH(VALUE(J10),PROYECCIONES!$B$1:$B$38,-1,1),_xlfn.XMATCH(VALUE(J10),PROYECCIONES!$B$1:$B$333,-1,1)),"")</f>
        <v/>
      </c>
    </row>
    <row r="11" spans="1:13">
      <c r="A11">
        <f>IFERROR(IF(B11="",0,IF(VALUE(LEFT(B11,1))&gt;3,VLOOKUP(VALUE(B11),PROYECCIONES!B:D,3,FALSE),0)),1 + COUNTIF($A$2:A10,"&gt;0"))</f>
        <v>0</v>
      </c>
      <c r="B11" s="52" t="s">
        <v>276</v>
      </c>
      <c r="C11" s="52" t="s">
        <v>228</v>
      </c>
      <c r="D11" s="53">
        <v>35066662</v>
      </c>
      <c r="E11" s="53">
        <v>2000008</v>
      </c>
      <c r="F11" s="53">
        <v>1000000</v>
      </c>
      <c r="G11" s="53">
        <v>36066670</v>
      </c>
      <c r="I11" s="123">
        <v>8</v>
      </c>
      <c r="J11" t="str">
        <f>IFERROR(VLOOKUP(I11,'Balance a Ago'!$A$3:$C$300,2,FALSE),"")</f>
        <v/>
      </c>
      <c r="K11" t="str">
        <f>IFERROR(VLOOKUP(I11,'Balance a Ago'!$A$3:$C$300,3,FALSE),"")</f>
        <v/>
      </c>
      <c r="L11" t="str">
        <f>IFERROR(IF(AND(VALUE(LEFT(J11,1))&gt;=6,VALUE(LEFT(J11,1))&lt;=7),_xlfn.XMATCH(VALUE(J11),PROYECCIONES!$B$1:$B$38,-1,1),_xlfn.XMATCH(VALUE(J11),PROYECCIONES!$B$1:$B$333,-1,1)),"")</f>
        <v/>
      </c>
    </row>
    <row r="12" spans="1:13">
      <c r="A12">
        <f>IFERROR(IF(B12="",0,IF(VALUE(LEFT(B12,1))&gt;3,VLOOKUP(VALUE(B12),PROYECCIONES!B:D,3,FALSE),0)),1 + COUNTIF($A$2:A11,"&gt;0"))</f>
        <v>0</v>
      </c>
      <c r="B12" s="52" t="s">
        <v>277</v>
      </c>
      <c r="C12" s="52" t="s">
        <v>229</v>
      </c>
      <c r="D12" s="53">
        <v>0</v>
      </c>
      <c r="E12" s="53">
        <v>11933498</v>
      </c>
      <c r="F12" s="53">
        <v>11533498</v>
      </c>
      <c r="G12" s="53">
        <v>400000</v>
      </c>
      <c r="I12" s="123">
        <v>9</v>
      </c>
      <c r="J12" t="str">
        <f>IFERROR(VLOOKUP(I12,'Balance a Ago'!$A$3:$C$300,2,FALSE),"")</f>
        <v/>
      </c>
      <c r="K12" t="str">
        <f>IFERROR(VLOOKUP(I12,'Balance a Ago'!$A$3:$C$300,3,FALSE),"")</f>
        <v/>
      </c>
      <c r="L12" t="str">
        <f>IFERROR(IF(AND(VALUE(LEFT(J12,1))&gt;=6,VALUE(LEFT(J12,1))&lt;=7),_xlfn.XMATCH(VALUE(J12),PROYECCIONES!$B$1:$B$38,-1,1),_xlfn.XMATCH(VALUE(J12),PROYECCIONES!$B$1:$B$333,-1,1)),"")</f>
        <v/>
      </c>
    </row>
    <row r="13" spans="1:13">
      <c r="A13">
        <f>IFERROR(IF(B13="",0,IF(VALUE(LEFT(B13,1))&gt;3,VLOOKUP(VALUE(B13),PROYECCIONES!B:D,3,FALSE),0)),1 + COUNTIF($A$2:A12,"&gt;0"))</f>
        <v>0</v>
      </c>
      <c r="B13" s="52" t="s">
        <v>278</v>
      </c>
      <c r="C13" s="52" t="s">
        <v>230</v>
      </c>
      <c r="D13" s="53">
        <v>55910253.5</v>
      </c>
      <c r="E13" s="53">
        <v>49948848</v>
      </c>
      <c r="F13" s="53">
        <v>56720593.5</v>
      </c>
      <c r="G13" s="53">
        <v>49138508</v>
      </c>
      <c r="I13" s="123">
        <v>10</v>
      </c>
      <c r="J13" t="str">
        <f>IFERROR(VLOOKUP(I13,'Balance a Ago'!$A$3:$C$300,2,FALSE),"")</f>
        <v/>
      </c>
      <c r="K13" t="str">
        <f>IFERROR(VLOOKUP(I13,'Balance a Ago'!$A$3:$C$300,3,FALSE),"")</f>
        <v/>
      </c>
      <c r="L13" t="str">
        <f>IFERROR(IF(AND(VALUE(LEFT(J13,1))&gt;=6,VALUE(LEFT(J13,1))&lt;=7),_xlfn.XMATCH(VALUE(J13),PROYECCIONES!$B$1:$B$38,-1,1),_xlfn.XMATCH(VALUE(J13),PROYECCIONES!$B$1:$B$333,-1,1)),"")</f>
        <v/>
      </c>
    </row>
    <row r="14" spans="1:13">
      <c r="A14">
        <f>IFERROR(IF(B14="",0,IF(VALUE(LEFT(B14,1))&gt;3,VLOOKUP(VALUE(B14),PROYECCIONES!B:D,3,FALSE),0)),1 + COUNTIF($A$2:A13,"&gt;0"))</f>
        <v>0</v>
      </c>
      <c r="B14" s="52" t="s">
        <v>425</v>
      </c>
      <c r="C14" s="52" t="s">
        <v>426</v>
      </c>
      <c r="D14" s="53">
        <v>230000</v>
      </c>
      <c r="E14" s="53">
        <v>0</v>
      </c>
      <c r="F14" s="53">
        <v>230000</v>
      </c>
      <c r="G14" s="53">
        <v>0</v>
      </c>
      <c r="I14" s="123">
        <v>11</v>
      </c>
      <c r="J14" t="str">
        <f>IFERROR(VLOOKUP(I14,'Balance a Ago'!$A$3:$C$300,2,FALSE),"")</f>
        <v/>
      </c>
      <c r="K14" t="str">
        <f>IFERROR(VLOOKUP(I14,'Balance a Ago'!$A$3:$C$300,3,FALSE),"")</f>
        <v/>
      </c>
      <c r="L14" t="str">
        <f>IFERROR(IF(AND(VALUE(LEFT(J14,1))&gt;=6,VALUE(LEFT(J14,1))&lt;=7),_xlfn.XMATCH(VALUE(J14),PROYECCIONES!$B$1:$B$38,-1,1),_xlfn.XMATCH(VALUE(J14),PROYECCIONES!$B$1:$B$333,-1,1)),"")</f>
        <v/>
      </c>
    </row>
    <row r="15" spans="1:13">
      <c r="A15">
        <f>IFERROR(IF(B15="",0,IF(VALUE(LEFT(B15,1))&gt;3,VLOOKUP(VALUE(B15),PROYECCIONES!B:D,3,FALSE),0)),1 + COUNTIF($A$2:A14,"&gt;0"))</f>
        <v>0</v>
      </c>
      <c r="B15" s="52" t="s">
        <v>454</v>
      </c>
      <c r="C15" s="52" t="s">
        <v>455</v>
      </c>
      <c r="D15" s="53">
        <v>24000</v>
      </c>
      <c r="E15" s="53">
        <v>12000</v>
      </c>
      <c r="F15" s="53">
        <v>36000</v>
      </c>
      <c r="G15" s="53">
        <v>0</v>
      </c>
      <c r="I15" s="123">
        <v>12</v>
      </c>
      <c r="J15" t="str">
        <f>IFERROR(VLOOKUP(I15,'Balance a Ago'!$A$3:$C$300,2,FALSE),"")</f>
        <v/>
      </c>
      <c r="K15" t="str">
        <f>IFERROR(VLOOKUP(I15,'Balance a Ago'!$A$3:$C$300,3,FALSE),"")</f>
        <v/>
      </c>
      <c r="L15" t="str">
        <f>IFERROR(IF(AND(VALUE(LEFT(J15,1))&gt;=6,VALUE(LEFT(J15,1))&lt;=7),_xlfn.XMATCH(VALUE(J15),PROYECCIONES!$B$1:$B$38,-1,1),_xlfn.XMATCH(VALUE(J15),PROYECCIONES!$B$1:$B$333,-1,1)),"")</f>
        <v/>
      </c>
    </row>
    <row r="16" spans="1:13">
      <c r="A16">
        <f>IFERROR(IF(B16="",0,IF(VALUE(LEFT(B16,1))&gt;3,VLOOKUP(VALUE(B16),PROYECCIONES!B:D,3,FALSE),0)),1 + COUNTIF($A$2:A15,"&gt;0"))</f>
        <v>0</v>
      </c>
      <c r="B16" s="52" t="s">
        <v>279</v>
      </c>
      <c r="C16" s="52" t="s">
        <v>231</v>
      </c>
      <c r="D16" s="53">
        <v>922339.449999996</v>
      </c>
      <c r="E16" s="53">
        <v>2400482</v>
      </c>
      <c r="F16" s="53">
        <v>3471021.45</v>
      </c>
      <c r="G16" s="53">
        <v>-148200.00000000701</v>
      </c>
      <c r="I16" s="123">
        <v>13</v>
      </c>
      <c r="J16" t="str">
        <f>IFERROR(VLOOKUP(I16,'Balance a Ago'!$A$3:$C$300,2,FALSE),"")</f>
        <v/>
      </c>
      <c r="K16" t="str">
        <f>IFERROR(VLOOKUP(I16,'Balance a Ago'!$A$3:$C$300,3,FALSE),"")</f>
        <v/>
      </c>
      <c r="L16" t="str">
        <f>IFERROR(IF(AND(VALUE(LEFT(J16,1))&gt;=6,VALUE(LEFT(J16,1))&lt;=7),_xlfn.XMATCH(VALUE(J16),PROYECCIONES!$B$1:$B$38,-1,1),_xlfn.XMATCH(VALUE(J16),PROYECCIONES!$B$1:$B$333,-1,1)),"")</f>
        <v/>
      </c>
    </row>
    <row r="17" spans="1:12">
      <c r="A17">
        <f>IFERROR(IF(B17="",0,IF(VALUE(LEFT(B17,1))&gt;3,VLOOKUP(VALUE(B17),PROYECCIONES!B:D,3,FALSE),0)),1 + COUNTIF($A$2:A16,"&gt;0"))</f>
        <v>0</v>
      </c>
      <c r="B17" s="52" t="s">
        <v>280</v>
      </c>
      <c r="C17" s="52" t="s">
        <v>232</v>
      </c>
      <c r="D17" s="53">
        <v>1595197.91</v>
      </c>
      <c r="E17" s="53">
        <v>892916</v>
      </c>
      <c r="F17" s="53">
        <v>1608177.91</v>
      </c>
      <c r="G17" s="53">
        <v>879936</v>
      </c>
      <c r="I17" s="123">
        <v>14</v>
      </c>
      <c r="J17" t="str">
        <f>IFERROR(VLOOKUP(I17,'Balance a Ago'!$A$3:$C$300,2,FALSE),"")</f>
        <v/>
      </c>
      <c r="K17" t="str">
        <f>IFERROR(VLOOKUP(I17,'Balance a Ago'!$A$3:$C$300,3,FALSE),"")</f>
        <v/>
      </c>
      <c r="L17" t="str">
        <f>IFERROR(IF(AND(VALUE(LEFT(J17,1))&gt;=6,VALUE(LEFT(J17,1))&lt;=7),_xlfn.XMATCH(VALUE(J17),PROYECCIONES!$B$1:$B$38,-1,1),_xlfn.XMATCH(VALUE(J17),PROYECCIONES!$B$1:$B$333,-1,1)),"")</f>
        <v/>
      </c>
    </row>
    <row r="18" spans="1:12">
      <c r="A18">
        <f>IFERROR(IF(B18="",0,IF(VALUE(LEFT(B18,1))&gt;3,VLOOKUP(VALUE(B18),PROYECCIONES!B:D,3,FALSE),0)),1 + COUNTIF($A$2:A17,"&gt;0"))</f>
        <v>0</v>
      </c>
      <c r="B18" s="52" t="s">
        <v>281</v>
      </c>
      <c r="C18" s="52" t="s">
        <v>233</v>
      </c>
      <c r="D18" s="53">
        <v>0</v>
      </c>
      <c r="E18" s="53">
        <v>88992</v>
      </c>
      <c r="F18" s="53">
        <v>0</v>
      </c>
      <c r="G18" s="53">
        <v>88992</v>
      </c>
      <c r="I18" s="123">
        <v>15</v>
      </c>
      <c r="J18" t="str">
        <f>IFERROR(VLOOKUP(I18,'Balance a Ago'!$A$3:$C$300,2,FALSE),"")</f>
        <v/>
      </c>
      <c r="K18" t="str">
        <f>IFERROR(VLOOKUP(I18,'Balance a Ago'!$A$3:$C$300,3,FALSE),"")</f>
        <v/>
      </c>
      <c r="L18" t="str">
        <f>IFERROR(IF(AND(VALUE(LEFT(J18,1))&gt;=6,VALUE(LEFT(J18,1))&lt;=7),_xlfn.XMATCH(VALUE(J18),PROYECCIONES!$B$1:$B$38,-1,1),_xlfn.XMATCH(VALUE(J18),PROYECCIONES!$B$1:$B$333,-1,1)),"")</f>
        <v/>
      </c>
    </row>
    <row r="19" spans="1:12">
      <c r="A19">
        <f>IFERROR(IF(B19="",0,IF(VALUE(LEFT(B19,1))&gt;3,VLOOKUP(VALUE(B19),PROYECCIONES!B:D,3,FALSE),0)),1 + COUNTIF($A$2:A18,"&gt;0"))</f>
        <v>0</v>
      </c>
      <c r="B19" s="52" t="s">
        <v>405</v>
      </c>
      <c r="C19" s="52" t="s">
        <v>406</v>
      </c>
      <c r="D19" s="53">
        <v>0</v>
      </c>
      <c r="E19" s="53">
        <v>448800</v>
      </c>
      <c r="F19" s="53">
        <v>0</v>
      </c>
      <c r="G19" s="53">
        <v>448800</v>
      </c>
    </row>
    <row r="20" spans="1:12">
      <c r="A20">
        <f>IFERROR(IF(B20="",0,IF(VALUE(LEFT(B20,1))&gt;3,VLOOKUP(VALUE(B20),PROYECCIONES!B:D,3,FALSE),0)),1 + COUNTIF($A$2:A19,"&gt;0"))</f>
        <v>0</v>
      </c>
      <c r="B20" s="52" t="s">
        <v>427</v>
      </c>
      <c r="C20" s="52" t="s">
        <v>428</v>
      </c>
      <c r="D20" s="53">
        <v>251700</v>
      </c>
      <c r="E20" s="53">
        <v>44200</v>
      </c>
      <c r="F20" s="53">
        <v>295900</v>
      </c>
      <c r="G20" s="53">
        <v>0</v>
      </c>
    </row>
    <row r="21" spans="1:12">
      <c r="A21">
        <f>IFERROR(IF(B21="",0,IF(VALUE(LEFT(B21,1))&gt;3,VLOOKUP(VALUE(B21),PROYECCIONES!B:D,3,FALSE),0)),1 + COUNTIF($A$2:A20,"&gt;0"))</f>
        <v>0</v>
      </c>
      <c r="B21" s="52" t="s">
        <v>550</v>
      </c>
      <c r="C21" s="52" t="s">
        <v>551</v>
      </c>
      <c r="D21" s="53">
        <v>0</v>
      </c>
      <c r="E21" s="53">
        <v>10090</v>
      </c>
      <c r="F21" s="53">
        <v>0</v>
      </c>
      <c r="G21" s="53">
        <v>10090</v>
      </c>
    </row>
    <row r="22" spans="1:12">
      <c r="A22">
        <f>IFERROR(IF(B22="",0,IF(VALUE(LEFT(B22,1))&gt;3,VLOOKUP(VALUE(B22),PROYECCIONES!B:D,3,FALSE),0)),1 + COUNTIF($A$2:A21,"&gt;0"))</f>
        <v>0</v>
      </c>
      <c r="B22" s="52" t="s">
        <v>596</v>
      </c>
      <c r="C22" s="52" t="s">
        <v>597</v>
      </c>
      <c r="D22" s="53">
        <v>0</v>
      </c>
      <c r="E22" s="53">
        <v>37911254</v>
      </c>
      <c r="F22" s="53">
        <v>37911254</v>
      </c>
      <c r="G22" s="53">
        <v>0</v>
      </c>
    </row>
    <row r="23" spans="1:12">
      <c r="A23">
        <f>IFERROR(IF(B23="",0,IF(VALUE(LEFT(B23,1))&gt;3,VLOOKUP(VALUE(B23),PROYECCIONES!B:D,3,FALSE),0)),1 + COUNTIF($A$2:A22,"&gt;0"))</f>
        <v>0</v>
      </c>
      <c r="B23" s="52" t="s">
        <v>435</v>
      </c>
      <c r="C23" s="52" t="s">
        <v>436</v>
      </c>
      <c r="D23" s="53">
        <v>3625000</v>
      </c>
      <c r="E23" s="53">
        <v>0</v>
      </c>
      <c r="F23" s="53">
        <v>0</v>
      </c>
      <c r="G23" s="53">
        <v>3625000</v>
      </c>
    </row>
    <row r="24" spans="1:12">
      <c r="A24">
        <f>IFERROR(IF(B24="",0,IF(VALUE(LEFT(B24,1))&gt;3,VLOOKUP(VALUE(B24),PROYECCIONES!B:D,3,FALSE),0)),1 + COUNTIF($A$2:A23,"&gt;0"))</f>
        <v>0</v>
      </c>
      <c r="B24" s="52" t="s">
        <v>377</v>
      </c>
      <c r="C24" s="52" t="s">
        <v>373</v>
      </c>
      <c r="D24" s="53">
        <v>4742306</v>
      </c>
      <c r="E24" s="53">
        <v>3907219.94</v>
      </c>
      <c r="F24" s="53">
        <v>4909134</v>
      </c>
      <c r="G24" s="53">
        <v>3740391.94</v>
      </c>
    </row>
    <row r="25" spans="1:12">
      <c r="A25">
        <f>IFERROR(IF(B25="",0,IF(VALUE(LEFT(B25,1))&gt;3,VLOOKUP(VALUE(B25),PROYECCIONES!B:D,3,FALSE),0)),1 + COUNTIF($A$2:A24,"&gt;0"))</f>
        <v>0</v>
      </c>
      <c r="B25" s="52" t="s">
        <v>360</v>
      </c>
      <c r="C25" s="52" t="s">
        <v>361</v>
      </c>
      <c r="D25" s="53">
        <v>2530000</v>
      </c>
      <c r="E25" s="53">
        <v>1848000</v>
      </c>
      <c r="F25" s="53">
        <v>2530000</v>
      </c>
      <c r="G25" s="53">
        <v>1848000</v>
      </c>
    </row>
    <row r="26" spans="1:12">
      <c r="A26">
        <f>IFERROR(IF(B26="",0,IF(VALUE(LEFT(B26,1))&gt;3,VLOOKUP(VALUE(B26),PROYECCIONES!B:D,3,FALSE),0)),1 + COUNTIF($A$2:A25,"&gt;0"))</f>
        <v>0</v>
      </c>
      <c r="B26" s="52" t="s">
        <v>282</v>
      </c>
      <c r="C26" s="52" t="s">
        <v>234</v>
      </c>
      <c r="D26" s="53">
        <v>43467544</v>
      </c>
      <c r="E26" s="53">
        <v>0</v>
      </c>
      <c r="F26" s="53">
        <v>0</v>
      </c>
      <c r="G26" s="53">
        <v>43467544</v>
      </c>
    </row>
    <row r="27" spans="1:12">
      <c r="A27">
        <f>IFERROR(IF(B27="",0,IF(VALUE(LEFT(B27,1))&gt;3,VLOOKUP(VALUE(B27),PROYECCIONES!B:D,3,FALSE),0)),1 + COUNTIF($A$2:A26,"&gt;0"))</f>
        <v>0</v>
      </c>
      <c r="B27" s="52" t="s">
        <v>471</v>
      </c>
      <c r="C27" s="52" t="s">
        <v>472</v>
      </c>
      <c r="D27" s="53">
        <v>0</v>
      </c>
      <c r="E27" s="53">
        <v>181000</v>
      </c>
      <c r="F27" s="53">
        <v>181000</v>
      </c>
      <c r="G27" s="53">
        <v>0</v>
      </c>
    </row>
    <row r="28" spans="1:12">
      <c r="A28">
        <f>IFERROR(IF(B28="",0,IF(VALUE(LEFT(B28,1))&gt;3,VLOOKUP(VALUE(B28),PROYECCIONES!B:D,3,FALSE),0)),1 + COUNTIF($A$2:A27,"&gt;0"))</f>
        <v>0</v>
      </c>
      <c r="B28" s="52" t="s">
        <v>283</v>
      </c>
      <c r="C28" s="52" t="s">
        <v>235</v>
      </c>
      <c r="D28" s="53">
        <v>31548323.850000001</v>
      </c>
      <c r="E28" s="53">
        <v>760300</v>
      </c>
      <c r="F28" s="53">
        <v>3960300</v>
      </c>
      <c r="G28" s="53">
        <v>28348323.850000001</v>
      </c>
    </row>
    <row r="29" spans="1:12">
      <c r="A29">
        <f>IFERROR(IF(B29="",0,IF(VALUE(LEFT(B29,1))&gt;3,VLOOKUP(VALUE(B29),PROYECCIONES!B:D,3,FALSE),0)),1 + COUNTIF($A$2:A28,"&gt;0"))</f>
        <v>0</v>
      </c>
      <c r="B29" s="52" t="s">
        <v>378</v>
      </c>
      <c r="C29" s="52" t="s">
        <v>379</v>
      </c>
      <c r="D29" s="53">
        <v>900000</v>
      </c>
      <c r="E29" s="53">
        <v>27000000</v>
      </c>
      <c r="F29" s="53">
        <v>9223274</v>
      </c>
      <c r="G29" s="53">
        <v>18676726</v>
      </c>
    </row>
    <row r="30" spans="1:12">
      <c r="A30">
        <f>IFERROR(IF(B30="",0,IF(VALUE(LEFT(B30,1))&gt;3,VLOOKUP(VALUE(B30),PROYECCIONES!B:D,3,FALSE),0)),1 + COUNTIF($A$2:A29,"&gt;0"))</f>
        <v>0</v>
      </c>
      <c r="B30" s="52" t="s">
        <v>284</v>
      </c>
      <c r="C30" s="52" t="s">
        <v>236</v>
      </c>
      <c r="D30" s="53">
        <v>50000</v>
      </c>
      <c r="E30" s="53">
        <v>231422.34</v>
      </c>
      <c r="F30" s="53">
        <v>281422.34000000003</v>
      </c>
      <c r="G30" s="53">
        <v>0</v>
      </c>
    </row>
    <row r="31" spans="1:12">
      <c r="A31">
        <f>IFERROR(IF(B31="",0,IF(VALUE(LEFT(B31,1))&gt;3,VLOOKUP(VALUE(B31),PROYECCIONES!B:D,3,FALSE),0)),1 + COUNTIF($A$2:A30,"&gt;0"))</f>
        <v>0</v>
      </c>
      <c r="B31" s="52" t="s">
        <v>285</v>
      </c>
      <c r="C31" s="52" t="s">
        <v>237</v>
      </c>
      <c r="D31" s="53">
        <v>18023845.800000001</v>
      </c>
      <c r="E31" s="53">
        <v>4235631.2</v>
      </c>
      <c r="F31" s="53">
        <v>1956913</v>
      </c>
      <c r="G31" s="53">
        <v>20302564</v>
      </c>
    </row>
    <row r="32" spans="1:12">
      <c r="A32">
        <f>IFERROR(IF(B32="",0,IF(VALUE(LEFT(B32,1))&gt;3,VLOOKUP(VALUE(B32),PROYECCIONES!B:D,3,FALSE),0)),1 + COUNTIF($A$2:A31,"&gt;0"))</f>
        <v>0</v>
      </c>
      <c r="B32" s="52" t="s">
        <v>536</v>
      </c>
      <c r="C32" s="52" t="s">
        <v>537</v>
      </c>
      <c r="D32" s="53">
        <v>0</v>
      </c>
      <c r="E32" s="53">
        <v>8200000</v>
      </c>
      <c r="F32" s="53">
        <v>0</v>
      </c>
      <c r="G32" s="53">
        <v>8200000</v>
      </c>
    </row>
    <row r="33" spans="1:7">
      <c r="A33">
        <f>IFERROR(IF(B33="",0,IF(VALUE(LEFT(B33,1))&gt;3,VLOOKUP(VALUE(B33),PROYECCIONES!B:D,3,FALSE),0)),1 + COUNTIF($A$2:A32,"&gt;0"))</f>
        <v>0</v>
      </c>
      <c r="B33" s="52" t="s">
        <v>286</v>
      </c>
      <c r="C33" s="52" t="s">
        <v>238</v>
      </c>
      <c r="D33" s="53">
        <v>61490000</v>
      </c>
      <c r="E33" s="53">
        <v>45900000</v>
      </c>
      <c r="F33" s="53">
        <v>0</v>
      </c>
      <c r="G33" s="53">
        <v>107390000</v>
      </c>
    </row>
    <row r="34" spans="1:7">
      <c r="A34">
        <f>IFERROR(IF(B34="",0,IF(VALUE(LEFT(B34,1))&gt;3,VLOOKUP(VALUE(B34),PROYECCIONES!B:D,3,FALSE),0)),1 + COUNTIF($A$2:A33,"&gt;0"))</f>
        <v>0</v>
      </c>
      <c r="B34" s="52" t="s">
        <v>287</v>
      </c>
      <c r="C34" s="52" t="s">
        <v>239</v>
      </c>
      <c r="D34" s="53">
        <v>-6028466.0099999998</v>
      </c>
      <c r="E34" s="53">
        <v>1085097.69</v>
      </c>
      <c r="F34" s="53">
        <v>1686855.25</v>
      </c>
      <c r="G34" s="53">
        <v>-6630223.5700000003</v>
      </c>
    </row>
    <row r="35" spans="1:7">
      <c r="A35">
        <f>IFERROR(IF(B35="",0,IF(VALUE(LEFT(B35,1))&gt;3,VLOOKUP(VALUE(B35),PROYECCIONES!B:D,3,FALSE),0)),1 + COUNTIF($A$2:A34,"&gt;0"))</f>
        <v>0</v>
      </c>
      <c r="B35" s="52" t="s">
        <v>600</v>
      </c>
      <c r="C35" s="52" t="s">
        <v>601</v>
      </c>
      <c r="D35" s="53">
        <v>2.3283064365386999E-10</v>
      </c>
      <c r="E35" s="53">
        <v>0</v>
      </c>
      <c r="F35" s="53">
        <v>546666.67000000004</v>
      </c>
      <c r="G35" s="53">
        <v>-546666.67000000004</v>
      </c>
    </row>
    <row r="36" spans="1:7">
      <c r="A36">
        <f>IFERROR(IF(B36="",0,IF(VALUE(LEFT(B36,1))&gt;3,VLOOKUP(VALUE(B36),PROYECCIONES!B:D,3,FALSE),0)),1 + COUNTIF($A$2:A35,"&gt;0"))</f>
        <v>0</v>
      </c>
      <c r="B36" s="52" t="s">
        <v>288</v>
      </c>
      <c r="C36" s="52" t="s">
        <v>240</v>
      </c>
      <c r="D36" s="53">
        <v>-1588491.73</v>
      </c>
      <c r="E36" s="53">
        <v>0</v>
      </c>
      <c r="F36" s="53">
        <v>4430591.5999999996</v>
      </c>
      <c r="G36" s="53">
        <v>-6019083.3300000001</v>
      </c>
    </row>
    <row r="37" spans="1:7">
      <c r="A37">
        <f>IFERROR(IF(B37="",0,IF(VALUE(LEFT(B37,1))&gt;3,VLOOKUP(VALUE(B37),PROYECCIONES!B:D,3,FALSE),0)),1 + COUNTIF($A$2:A36,"&gt;0"))</f>
        <v>0</v>
      </c>
      <c r="B37" s="52" t="s">
        <v>289</v>
      </c>
      <c r="C37" s="52" t="s">
        <v>241</v>
      </c>
      <c r="D37" s="53">
        <v>880262</v>
      </c>
      <c r="E37" s="53">
        <v>0</v>
      </c>
      <c r="F37" s="53">
        <v>0</v>
      </c>
      <c r="G37" s="53">
        <v>880262</v>
      </c>
    </row>
    <row r="38" spans="1:7">
      <c r="A38">
        <f>IFERROR(IF(B38="",0,IF(VALUE(LEFT(B38,1))&gt;3,VLOOKUP(VALUE(B38),PROYECCIONES!B:D,3,FALSE),0)),1 + COUNTIF($A$2:A37,"&gt;0"))</f>
        <v>0</v>
      </c>
      <c r="B38" s="52" t="s">
        <v>290</v>
      </c>
      <c r="C38" s="52" t="s">
        <v>242</v>
      </c>
      <c r="D38" s="53">
        <v>-880262</v>
      </c>
      <c r="E38" s="53">
        <v>0</v>
      </c>
      <c r="F38" s="53">
        <v>0</v>
      </c>
      <c r="G38" s="53">
        <v>-880262</v>
      </c>
    </row>
    <row r="39" spans="1:7">
      <c r="A39">
        <f>IFERROR(IF(B39="",0,IF(VALUE(LEFT(B39,1))&gt;3,VLOOKUP(VALUE(B39),PROYECCIONES!B:D,3,FALSE),0)),1 + COUNTIF($A$2:A38,"&gt;0"))</f>
        <v>0</v>
      </c>
      <c r="B39" s="52" t="s">
        <v>473</v>
      </c>
      <c r="C39" s="52" t="s">
        <v>474</v>
      </c>
      <c r="D39" s="53">
        <v>1653107</v>
      </c>
      <c r="E39" s="53">
        <v>0</v>
      </c>
      <c r="F39" s="53">
        <v>1653107</v>
      </c>
      <c r="G39" s="53">
        <v>0</v>
      </c>
    </row>
    <row r="40" spans="1:7">
      <c r="A40">
        <f>IFERROR(IF(B40="",0,IF(VALUE(LEFT(B40,1))&gt;3,VLOOKUP(VALUE(B40),PROYECCIONES!B:D,3,FALSE),0)),1 + COUNTIF($A$2:A39,"&gt;0"))</f>
        <v>0</v>
      </c>
      <c r="B40" s="52" t="s">
        <v>520</v>
      </c>
      <c r="C40" s="52" t="s">
        <v>229</v>
      </c>
      <c r="D40" s="53">
        <v>0</v>
      </c>
      <c r="E40" s="53">
        <v>14136912.02</v>
      </c>
      <c r="F40" s="53">
        <v>10394225.4</v>
      </c>
      <c r="G40" s="53">
        <v>3742686.62</v>
      </c>
    </row>
    <row r="41" spans="1:7">
      <c r="A41">
        <f>IFERROR(IF(B41="",0,IF(VALUE(LEFT(B41,1))&gt;3,VLOOKUP(VALUE(B41),PROYECCIONES!B:D,3,FALSE),0)),1 + COUNTIF($A$2:A40,"&gt;0"))</f>
        <v>0</v>
      </c>
      <c r="B41" s="52" t="s">
        <v>380</v>
      </c>
      <c r="C41" s="52" t="s">
        <v>374</v>
      </c>
      <c r="D41" s="53">
        <v>-87720410.230000004</v>
      </c>
      <c r="E41" s="53">
        <v>9110047</v>
      </c>
      <c r="F41" s="53">
        <v>30270777.77</v>
      </c>
      <c r="G41" s="53">
        <v>-108881141</v>
      </c>
    </row>
    <row r="42" spans="1:7">
      <c r="A42">
        <f>IFERROR(IF(B42="",0,IF(VALUE(LEFT(B42,1))&gt;3,VLOOKUP(VALUE(B42),PROYECCIONES!B:D,3,FALSE),0)),1 + COUNTIF($A$2:A41,"&gt;0"))</f>
        <v>0</v>
      </c>
      <c r="B42" s="52" t="s">
        <v>604</v>
      </c>
      <c r="C42" s="52" t="s">
        <v>605</v>
      </c>
      <c r="D42" s="53">
        <v>0</v>
      </c>
      <c r="E42" s="53">
        <v>1305265</v>
      </c>
      <c r="F42" s="53">
        <v>1355457</v>
      </c>
      <c r="G42" s="53">
        <v>-50192</v>
      </c>
    </row>
    <row r="43" spans="1:7">
      <c r="A43">
        <f>IFERROR(IF(B43="",0,IF(VALUE(LEFT(B43,1))&gt;3,VLOOKUP(VALUE(B43),PROYECCIONES!B:D,3,FALSE),0)),1 + COUNTIF($A$2:A42,"&gt;0"))</f>
        <v>0</v>
      </c>
      <c r="B43" s="52" t="s">
        <v>552</v>
      </c>
      <c r="C43" s="52" t="s">
        <v>553</v>
      </c>
      <c r="D43" s="53">
        <v>0</v>
      </c>
      <c r="E43" s="53">
        <v>5007952</v>
      </c>
      <c r="F43" s="53">
        <v>5011556</v>
      </c>
      <c r="G43" s="53">
        <v>-3604</v>
      </c>
    </row>
    <row r="44" spans="1:7">
      <c r="A44">
        <f>IFERROR(IF(B44="",0,IF(VALUE(LEFT(B44,1))&gt;3,VLOOKUP(VALUE(B44),PROYECCIONES!B:D,3,FALSE),0)),1 + COUNTIF($A$2:A43,"&gt;0"))</f>
        <v>0</v>
      </c>
      <c r="B44" s="52" t="s">
        <v>458</v>
      </c>
      <c r="C44" s="52" t="s">
        <v>459</v>
      </c>
      <c r="D44" s="53">
        <v>4.65661287307739E-10</v>
      </c>
      <c r="E44" s="53">
        <v>2312905</v>
      </c>
      <c r="F44" s="53">
        <v>2312905</v>
      </c>
      <c r="G44" s="53">
        <v>0</v>
      </c>
    </row>
    <row r="45" spans="1:7">
      <c r="A45">
        <f>IFERROR(IF(B45="",0,IF(VALUE(LEFT(B45,1))&gt;3,VLOOKUP(VALUE(B45),PROYECCIONES!B:D,3,FALSE),0)),1 + COUNTIF($A$2:A44,"&gt;0"))</f>
        <v>0</v>
      </c>
      <c r="B45" s="52" t="s">
        <v>291</v>
      </c>
      <c r="C45" s="52" t="s">
        <v>243</v>
      </c>
      <c r="D45" s="53">
        <v>-427500</v>
      </c>
      <c r="E45" s="53">
        <v>27040600</v>
      </c>
      <c r="F45" s="53">
        <v>26613100</v>
      </c>
      <c r="G45" s="53">
        <v>0</v>
      </c>
    </row>
    <row r="46" spans="1:7">
      <c r="A46">
        <f>IFERROR(IF(B46="",0,IF(VALUE(LEFT(B46,1))&gt;3,VLOOKUP(VALUE(B46),PROYECCIONES!B:D,3,FALSE),0)),1 + COUNTIF($A$2:A45,"&gt;0"))</f>
        <v>0</v>
      </c>
      <c r="B46" s="52" t="s">
        <v>554</v>
      </c>
      <c r="C46" s="52" t="s">
        <v>555</v>
      </c>
      <c r="D46" s="53">
        <v>0</v>
      </c>
      <c r="E46" s="53">
        <v>1520330.1</v>
      </c>
      <c r="F46" s="53">
        <v>1520330.1</v>
      </c>
      <c r="G46" s="53">
        <v>0</v>
      </c>
    </row>
    <row r="47" spans="1:7">
      <c r="A47">
        <f>IFERROR(IF(B47="",0,IF(VALUE(LEFT(B47,1))&gt;3,VLOOKUP(VALUE(B47),PROYECCIONES!B:D,3,FALSE),0)),1 + COUNTIF($A$2:A46,"&gt;0"))</f>
        <v>0</v>
      </c>
      <c r="B47" s="52" t="s">
        <v>292</v>
      </c>
      <c r="C47" s="52" t="s">
        <v>244</v>
      </c>
      <c r="D47" s="53">
        <v>0</v>
      </c>
      <c r="E47" s="53">
        <v>150000</v>
      </c>
      <c r="F47" s="53">
        <v>150000</v>
      </c>
      <c r="G47" s="53">
        <v>0</v>
      </c>
    </row>
    <row r="48" spans="1:7">
      <c r="A48">
        <f>IFERROR(IF(B48="",0,IF(VALUE(LEFT(B48,1))&gt;3,VLOOKUP(VALUE(B48),PROYECCIONES!B:D,3,FALSE),0)),1 + COUNTIF($A$2:A47,"&gt;0"))</f>
        <v>0</v>
      </c>
      <c r="B48" s="52" t="s">
        <v>293</v>
      </c>
      <c r="C48" s="52" t="s">
        <v>245</v>
      </c>
      <c r="D48" s="53">
        <v>0</v>
      </c>
      <c r="E48" s="53">
        <v>14427736</v>
      </c>
      <c r="F48" s="53">
        <v>14427736</v>
      </c>
      <c r="G48" s="53">
        <v>0</v>
      </c>
    </row>
    <row r="49" spans="1:7">
      <c r="A49">
        <f>IFERROR(IF(B49="",0,IF(VALUE(LEFT(B49,1))&gt;3,VLOOKUP(VALUE(B49),PROYECCIONES!B:D,3,FALSE),0)),1 + COUNTIF($A$2:A48,"&gt;0"))</f>
        <v>0</v>
      </c>
      <c r="B49" s="52" t="s">
        <v>294</v>
      </c>
      <c r="C49" s="52" t="s">
        <v>246</v>
      </c>
      <c r="D49" s="53">
        <v>-259026</v>
      </c>
      <c r="E49" s="53">
        <v>5723276</v>
      </c>
      <c r="F49" s="53">
        <v>5464250</v>
      </c>
      <c r="G49" s="53">
        <v>0</v>
      </c>
    </row>
    <row r="50" spans="1:7">
      <c r="A50">
        <f>IFERROR(IF(B50="",0,IF(VALUE(LEFT(B50,1))&gt;3,VLOOKUP(VALUE(B50),PROYECCIONES!B:D,3,FALSE),0)),1 + COUNTIF($A$2:A49,"&gt;0"))</f>
        <v>0</v>
      </c>
      <c r="B50" s="52" t="s">
        <v>556</v>
      </c>
      <c r="C50" s="52" t="s">
        <v>557</v>
      </c>
      <c r="D50" s="53">
        <v>0</v>
      </c>
      <c r="E50" s="53">
        <v>2346077</v>
      </c>
      <c r="F50" s="53">
        <v>2346077</v>
      </c>
      <c r="G50" s="53">
        <v>0</v>
      </c>
    </row>
    <row r="51" spans="1:7">
      <c r="A51">
        <f>IFERROR(IF(B51="",0,IF(VALUE(LEFT(B51,1))&gt;3,VLOOKUP(VALUE(B51),PROYECCIONES!B:D,3,FALSE),0)),1 + COUNTIF($A$2:A50,"&gt;0"))</f>
        <v>0</v>
      </c>
      <c r="B51" s="52" t="s">
        <v>460</v>
      </c>
      <c r="C51" s="52" t="s">
        <v>461</v>
      </c>
      <c r="D51" s="53">
        <v>0</v>
      </c>
      <c r="E51" s="53">
        <v>10729958.26</v>
      </c>
      <c r="F51" s="53">
        <v>10729958.26</v>
      </c>
      <c r="G51" s="53">
        <v>0</v>
      </c>
    </row>
    <row r="52" spans="1:7">
      <c r="A52">
        <f>IFERROR(IF(B52="",0,IF(VALUE(LEFT(B52,1))&gt;3,VLOOKUP(VALUE(B52),PROYECCIONES!B:D,3,FALSE),0)),1 + COUNTIF($A$2:A51,"&gt;0"))</f>
        <v>0</v>
      </c>
      <c r="B52" s="52" t="s">
        <v>407</v>
      </c>
      <c r="C52" s="52" t="s">
        <v>408</v>
      </c>
      <c r="D52" s="53">
        <v>0</v>
      </c>
      <c r="E52" s="53">
        <v>1102439</v>
      </c>
      <c r="F52" s="53">
        <v>1102439</v>
      </c>
      <c r="G52" s="53">
        <v>0</v>
      </c>
    </row>
    <row r="53" spans="1:7">
      <c r="A53">
        <f>IFERROR(IF(B53="",0,IF(VALUE(LEFT(B53,1))&gt;3,VLOOKUP(VALUE(B53),PROYECCIONES!B:D,3,FALSE),0)),1 + COUNTIF($A$2:A52,"&gt;0"))</f>
        <v>0</v>
      </c>
      <c r="B53" s="52" t="s">
        <v>410</v>
      </c>
      <c r="C53" s="52" t="s">
        <v>411</v>
      </c>
      <c r="D53" s="53">
        <v>0</v>
      </c>
      <c r="E53" s="53">
        <v>115242</v>
      </c>
      <c r="F53" s="53">
        <v>115242</v>
      </c>
      <c r="G53" s="53">
        <v>0</v>
      </c>
    </row>
    <row r="54" spans="1:7">
      <c r="A54">
        <f>IFERROR(IF(B54="",0,IF(VALUE(LEFT(B54,1))&gt;3,VLOOKUP(VALUE(B54),PROYECCIONES!B:D,3,FALSE),0)),1 + COUNTIF($A$2:A53,"&gt;0"))</f>
        <v>0</v>
      </c>
      <c r="B54" s="52" t="s">
        <v>295</v>
      </c>
      <c r="C54" s="52" t="s">
        <v>247</v>
      </c>
      <c r="D54" s="53">
        <v>0</v>
      </c>
      <c r="E54" s="53">
        <v>16003536.949999999</v>
      </c>
      <c r="F54" s="53">
        <v>16003536.949999999</v>
      </c>
      <c r="G54" s="53">
        <v>0</v>
      </c>
    </row>
    <row r="55" spans="1:7">
      <c r="A55">
        <f>IFERROR(IF(B55="",0,IF(VALUE(LEFT(B55,1))&gt;3,VLOOKUP(VALUE(B55),PROYECCIONES!B:D,3,FALSE),0)),1 + COUNTIF($A$2:A54,"&gt;0"))</f>
        <v>0</v>
      </c>
      <c r="B55" s="52" t="s">
        <v>602</v>
      </c>
      <c r="C55" s="52" t="s">
        <v>603</v>
      </c>
      <c r="D55" s="53">
        <v>0</v>
      </c>
      <c r="E55" s="53">
        <v>388901</v>
      </c>
      <c r="F55" s="53">
        <v>533307</v>
      </c>
      <c r="G55" s="53">
        <v>-144406</v>
      </c>
    </row>
    <row r="56" spans="1:7">
      <c r="A56">
        <f>IFERROR(IF(B56="",0,IF(VALUE(LEFT(B56,1))&gt;3,VLOOKUP(VALUE(B56),PROYECCIONES!B:D,3,FALSE),0)),1 + COUNTIF($A$2:A55,"&gt;0"))</f>
        <v>0</v>
      </c>
      <c r="B56" s="52" t="s">
        <v>558</v>
      </c>
      <c r="C56" s="52" t="s">
        <v>559</v>
      </c>
      <c r="D56" s="53">
        <v>0</v>
      </c>
      <c r="E56" s="53">
        <v>12802400</v>
      </c>
      <c r="F56" s="53">
        <v>12802400</v>
      </c>
      <c r="G56" s="53">
        <v>0</v>
      </c>
    </row>
    <row r="57" spans="1:7">
      <c r="A57">
        <f>IFERROR(IF(B57="",0,IF(VALUE(LEFT(B57,1))&gt;3,VLOOKUP(VALUE(B57),PROYECCIONES!B:D,3,FALSE),0)),1 + COUNTIF($A$2:A56,"&gt;0"))</f>
        <v>0</v>
      </c>
      <c r="B57" s="52" t="s">
        <v>86</v>
      </c>
      <c r="C57" s="52" t="s">
        <v>248</v>
      </c>
      <c r="D57" s="53">
        <v>-118268.9</v>
      </c>
      <c r="E57" s="53">
        <v>729708.35</v>
      </c>
      <c r="F57" s="53">
        <v>563047.92000000004</v>
      </c>
      <c r="G57" s="53">
        <v>48391.530000000297</v>
      </c>
    </row>
    <row r="58" spans="1:7">
      <c r="A58">
        <f>IFERROR(IF(B58="",0,IF(VALUE(LEFT(B58,1))&gt;3,VLOOKUP(VALUE(B58),PROYECCIONES!B:D,3,FALSE),0)),1 + COUNTIF($A$2:A57,"&gt;0"))</f>
        <v>0</v>
      </c>
      <c r="B58" s="52" t="s">
        <v>538</v>
      </c>
      <c r="C58" s="52" t="s">
        <v>539</v>
      </c>
      <c r="D58" s="53">
        <v>0</v>
      </c>
      <c r="E58" s="53">
        <v>14148.68</v>
      </c>
      <c r="F58" s="53">
        <v>26148.68</v>
      </c>
      <c r="G58" s="53">
        <v>-12000</v>
      </c>
    </row>
    <row r="59" spans="1:7">
      <c r="A59">
        <f>IFERROR(IF(B59="",0,IF(VALUE(LEFT(B59,1))&gt;3,VLOOKUP(VALUE(B59),PROYECCIONES!B:D,3,FALSE),0)),1 + COUNTIF($A$2:A58,"&gt;0"))</f>
        <v>0</v>
      </c>
      <c r="B59" s="52" t="s">
        <v>87</v>
      </c>
      <c r="C59" s="52" t="s">
        <v>483</v>
      </c>
      <c r="D59" s="53">
        <v>0</v>
      </c>
      <c r="E59" s="53">
        <v>21600</v>
      </c>
      <c r="F59" s="53">
        <v>21600</v>
      </c>
      <c r="G59" s="53">
        <v>0</v>
      </c>
    </row>
    <row r="60" spans="1:7">
      <c r="A60">
        <f>IFERROR(IF(B60="",0,IF(VALUE(LEFT(B60,1))&gt;3,VLOOKUP(VALUE(B60),PROYECCIONES!B:D,3,FALSE),0)),1 + COUNTIF($A$2:A59,"&gt;0"))</f>
        <v>0</v>
      </c>
      <c r="B60" s="52" t="s">
        <v>362</v>
      </c>
      <c r="C60" s="52" t="s">
        <v>592</v>
      </c>
      <c r="D60" s="53">
        <v>-20300</v>
      </c>
      <c r="E60" s="53">
        <v>62790</v>
      </c>
      <c r="F60" s="53">
        <v>63490</v>
      </c>
      <c r="G60" s="53">
        <v>-21000</v>
      </c>
    </row>
    <row r="61" spans="1:7">
      <c r="A61">
        <f>IFERROR(IF(B61="",0,IF(VALUE(LEFT(B61,1))&gt;3,VLOOKUP(VALUE(B61),PROYECCIONES!B:D,3,FALSE),0)),1 + COUNTIF($A$2:A60,"&gt;0"))</f>
        <v>0</v>
      </c>
      <c r="B61" s="52" t="s">
        <v>88</v>
      </c>
      <c r="C61" s="52" t="s">
        <v>585</v>
      </c>
      <c r="D61" s="53">
        <v>-74424.880000000107</v>
      </c>
      <c r="E61" s="53">
        <v>118010.94</v>
      </c>
      <c r="F61" s="53">
        <v>43586.35</v>
      </c>
      <c r="G61" s="53">
        <v>-0.29000000003725301</v>
      </c>
    </row>
    <row r="62" spans="1:7">
      <c r="A62">
        <f>IFERROR(IF(B62="",0,IF(VALUE(LEFT(B62,1))&gt;3,VLOOKUP(VALUE(B62),PROYECCIONES!B:D,3,FALSE),0)),1 + COUNTIF($A$2:A61,"&gt;0"))</f>
        <v>0</v>
      </c>
      <c r="B62" s="52" t="s">
        <v>413</v>
      </c>
      <c r="C62" s="52" t="s">
        <v>586</v>
      </c>
      <c r="D62" s="53">
        <v>0</v>
      </c>
      <c r="E62" s="53">
        <v>672587.22</v>
      </c>
      <c r="F62" s="53">
        <v>833301.67</v>
      </c>
      <c r="G62" s="53">
        <v>-160714.45000000001</v>
      </c>
    </row>
    <row r="63" spans="1:7">
      <c r="A63">
        <f>IFERROR(IF(B63="",0,IF(VALUE(LEFT(B63,1))&gt;3,VLOOKUP(VALUE(B63),PROYECCIONES!B:D,3,FALSE),0)),1 + COUNTIF($A$2:A62,"&gt;0"))</f>
        <v>0</v>
      </c>
      <c r="B63" s="52" t="s">
        <v>296</v>
      </c>
      <c r="C63" s="52" t="s">
        <v>249</v>
      </c>
      <c r="D63" s="53">
        <v>-83618</v>
      </c>
      <c r="E63" s="53">
        <v>431396.16</v>
      </c>
      <c r="F63" s="53">
        <v>417778.16</v>
      </c>
      <c r="G63" s="53">
        <v>-70000</v>
      </c>
    </row>
    <row r="64" spans="1:7">
      <c r="A64">
        <f>IFERROR(IF(B64="",0,IF(VALUE(LEFT(B64,1))&gt;3,VLOOKUP(VALUE(B64),PROYECCIONES!B:D,3,FALSE),0)),1 + COUNTIF($A$2:A63,"&gt;0"))</f>
        <v>0</v>
      </c>
      <c r="B64" s="52" t="s">
        <v>462</v>
      </c>
      <c r="C64" s="52" t="s">
        <v>463</v>
      </c>
      <c r="D64" s="53">
        <v>0</v>
      </c>
      <c r="E64" s="53">
        <v>146774.5</v>
      </c>
      <c r="F64" s="53">
        <v>146774.5</v>
      </c>
      <c r="G64" s="53">
        <v>0</v>
      </c>
    </row>
    <row r="65" spans="1:7">
      <c r="A65">
        <f>IFERROR(IF(B65="",0,IF(VALUE(LEFT(B65,1))&gt;3,VLOOKUP(VALUE(B65),PROYECCIONES!B:D,3,FALSE),0)),1 + COUNTIF($A$2:A64,"&gt;0"))</f>
        <v>0</v>
      </c>
      <c r="B65" s="52" t="s">
        <v>297</v>
      </c>
      <c r="C65" s="52" t="s">
        <v>250</v>
      </c>
      <c r="D65" s="53">
        <v>-1027152</v>
      </c>
      <c r="E65" s="53">
        <v>4695118</v>
      </c>
      <c r="F65" s="53">
        <v>3893279</v>
      </c>
      <c r="G65" s="53">
        <v>-225313</v>
      </c>
    </row>
    <row r="66" spans="1:7">
      <c r="A66">
        <f>IFERROR(IF(B66="",0,IF(VALUE(LEFT(B66,1))&gt;3,VLOOKUP(VALUE(B66),PROYECCIONES!B:D,3,FALSE),0)),1 + COUNTIF($A$2:A65,"&gt;0"))</f>
        <v>0</v>
      </c>
      <c r="B66" s="52" t="s">
        <v>363</v>
      </c>
      <c r="C66" s="52" t="s">
        <v>437</v>
      </c>
      <c r="D66" s="53">
        <v>-440000</v>
      </c>
      <c r="E66" s="53">
        <v>2050400</v>
      </c>
      <c r="F66" s="53">
        <v>1848000</v>
      </c>
      <c r="G66" s="53">
        <v>-237600</v>
      </c>
    </row>
    <row r="67" spans="1:7">
      <c r="A67">
        <f>IFERROR(IF(B67="",0,IF(VALUE(LEFT(B67,1))&gt;3,VLOOKUP(VALUE(B67),PROYECCIONES!B:D,3,FALSE),0)),1 + COUNTIF($A$2:A66,"&gt;0"))</f>
        <v>0</v>
      </c>
      <c r="B67" s="52" t="s">
        <v>438</v>
      </c>
      <c r="C67" s="52" t="s">
        <v>439</v>
      </c>
      <c r="D67" s="53">
        <v>0</v>
      </c>
      <c r="E67" s="53">
        <v>706800</v>
      </c>
      <c r="F67" s="53">
        <v>552900</v>
      </c>
      <c r="G67" s="53">
        <v>153900</v>
      </c>
    </row>
    <row r="68" spans="1:7">
      <c r="A68">
        <f>IFERROR(IF(B68="",0,IF(VALUE(LEFT(B68,1))&gt;3,VLOOKUP(VALUE(B68),PROYECCIONES!B:D,3,FALSE),0)),1 + COUNTIF($A$2:A67,"&gt;0"))</f>
        <v>0</v>
      </c>
      <c r="B68" s="52" t="s">
        <v>381</v>
      </c>
      <c r="C68" s="52" t="s">
        <v>382</v>
      </c>
      <c r="D68" s="53">
        <v>0</v>
      </c>
      <c r="E68" s="53">
        <v>625363.03</v>
      </c>
      <c r="F68" s="53">
        <v>846847.82</v>
      </c>
      <c r="G68" s="53">
        <v>-221484.79</v>
      </c>
    </row>
    <row r="69" spans="1:7">
      <c r="A69">
        <f>IFERROR(IF(B69="",0,IF(VALUE(LEFT(B69,1))&gt;3,VLOOKUP(VALUE(B69),PROYECCIONES!B:D,3,FALSE),0)),1 + COUNTIF($A$2:A68,"&gt;0"))</f>
        <v>0</v>
      </c>
      <c r="B69" s="52" t="s">
        <v>298</v>
      </c>
      <c r="C69" s="52" t="s">
        <v>251</v>
      </c>
      <c r="D69" s="53">
        <v>-53457.23</v>
      </c>
      <c r="E69" s="53">
        <v>151411.35</v>
      </c>
      <c r="F69" s="53">
        <v>246533.54</v>
      </c>
      <c r="G69" s="53">
        <v>-148579.42000000001</v>
      </c>
    </row>
    <row r="70" spans="1:7">
      <c r="A70">
        <f>IFERROR(IF(B70="",0,IF(VALUE(LEFT(B70,1))&gt;3,VLOOKUP(VALUE(B70),PROYECCIONES!B:D,3,FALSE),0)),1 + COUNTIF($A$2:A69,"&gt;0"))</f>
        <v>0</v>
      </c>
      <c r="B70" s="52" t="s">
        <v>383</v>
      </c>
      <c r="C70" s="52" t="s">
        <v>375</v>
      </c>
      <c r="D70" s="53">
        <v>0</v>
      </c>
      <c r="E70" s="53">
        <v>16827.14</v>
      </c>
      <c r="F70" s="53">
        <v>10337.799999999999</v>
      </c>
      <c r="G70" s="53">
        <v>6489.34</v>
      </c>
    </row>
    <row r="71" spans="1:7">
      <c r="A71">
        <f>IFERROR(IF(B71="",0,IF(VALUE(LEFT(B71,1))&gt;3,VLOOKUP(VALUE(B71),PROYECCIONES!B:D,3,FALSE),0)),1 + COUNTIF($A$2:A70,"&gt;0"))</f>
        <v>0</v>
      </c>
      <c r="B71" s="52" t="s">
        <v>364</v>
      </c>
      <c r="C71" s="52" t="s">
        <v>365</v>
      </c>
      <c r="D71" s="53">
        <v>-3828</v>
      </c>
      <c r="E71" s="53">
        <v>25085.279999999999</v>
      </c>
      <c r="F71" s="53">
        <v>30025.38</v>
      </c>
      <c r="G71" s="53">
        <v>-8768.1000000000095</v>
      </c>
    </row>
    <row r="72" spans="1:7">
      <c r="A72">
        <f>IFERROR(IF(B72="",0,IF(VALUE(LEFT(B72,1))&gt;3,VLOOKUP(VALUE(B72),PROYECCIONES!B:D,3,FALSE),0)),1 + COUNTIF($A$2:A71,"&gt;0"))</f>
        <v>0</v>
      </c>
      <c r="B72" s="52" t="s">
        <v>464</v>
      </c>
      <c r="C72" s="52" t="s">
        <v>465</v>
      </c>
      <c r="D72" s="53">
        <v>0</v>
      </c>
      <c r="E72" s="53">
        <v>15957.65</v>
      </c>
      <c r="F72" s="53">
        <v>28368.240000000002</v>
      </c>
      <c r="G72" s="53">
        <v>-12410.59</v>
      </c>
    </row>
    <row r="73" spans="1:7">
      <c r="A73">
        <f>IFERROR(IF(B73="",0,IF(VALUE(LEFT(B73,1))&gt;3,VLOOKUP(VALUE(B73),PROYECCIONES!B:D,3,FALSE),0)),1 + COUNTIF($A$2:A72,"&gt;0"))</f>
        <v>0</v>
      </c>
      <c r="B73" s="52" t="s">
        <v>299</v>
      </c>
      <c r="C73" s="52" t="s">
        <v>252</v>
      </c>
      <c r="D73" s="53">
        <v>-803998</v>
      </c>
      <c r="E73" s="53">
        <v>4220700</v>
      </c>
      <c r="F73" s="53">
        <v>4840318</v>
      </c>
      <c r="G73" s="53">
        <v>-1423616</v>
      </c>
    </row>
    <row r="74" spans="1:7">
      <c r="A74">
        <f>IFERROR(IF(B74="",0,IF(VALUE(LEFT(B74,1))&gt;3,VLOOKUP(VALUE(B74),PROYECCIONES!B:D,3,FALSE),0)),1 + COUNTIF($A$2:A73,"&gt;0"))</f>
        <v>0</v>
      </c>
      <c r="B74" s="52" t="s">
        <v>300</v>
      </c>
      <c r="C74" s="52" t="s">
        <v>253</v>
      </c>
      <c r="D74" s="53">
        <v>-72817</v>
      </c>
      <c r="E74" s="53">
        <v>507488</v>
      </c>
      <c r="F74" s="53">
        <v>645534</v>
      </c>
      <c r="G74" s="53">
        <v>-210863</v>
      </c>
    </row>
    <row r="75" spans="1:7">
      <c r="A75">
        <f>IFERROR(IF(B75="",0,IF(VALUE(LEFT(B75,1))&gt;3,VLOOKUP(VALUE(B75),PROYECCIONES!B:D,3,FALSE),0)),1 + COUNTIF($A$2:A74,"&gt;0"))</f>
        <v>0</v>
      </c>
      <c r="B75" s="52" t="s">
        <v>301</v>
      </c>
      <c r="C75" s="52" t="s">
        <v>254</v>
      </c>
      <c r="D75" s="53">
        <v>-557999</v>
      </c>
      <c r="E75" s="53">
        <v>4220700</v>
      </c>
      <c r="F75" s="53">
        <v>4946600</v>
      </c>
      <c r="G75" s="53">
        <v>-1283899</v>
      </c>
    </row>
    <row r="76" spans="1:7">
      <c r="A76">
        <f>IFERROR(IF(B76="",0,IF(VALUE(LEFT(B76,1))&gt;3,VLOOKUP(VALUE(B76),PROYECCIONES!B:D,3,FALSE),0)),1 + COUNTIF($A$2:A75,"&gt;0"))</f>
        <v>0</v>
      </c>
      <c r="B76" s="52" t="s">
        <v>302</v>
      </c>
      <c r="C76" s="52" t="s">
        <v>255</v>
      </c>
      <c r="D76" s="53">
        <v>-5483064</v>
      </c>
      <c r="E76" s="53">
        <v>17051700</v>
      </c>
      <c r="F76" s="53">
        <v>19681268</v>
      </c>
      <c r="G76" s="53">
        <v>-8112632</v>
      </c>
    </row>
    <row r="77" spans="1:7">
      <c r="A77">
        <f>IFERROR(IF(B77="",0,IF(VALUE(LEFT(B77,1))&gt;3,VLOOKUP(VALUE(B77),PROYECCIONES!B:D,3,FALSE),0)),1 + COUNTIF($A$2:A76,"&gt;0"))</f>
        <v>0</v>
      </c>
      <c r="B77" s="52" t="s">
        <v>440</v>
      </c>
      <c r="C77" s="52" t="s">
        <v>441</v>
      </c>
      <c r="D77" s="53">
        <v>-28977138</v>
      </c>
      <c r="E77" s="53">
        <v>28977138</v>
      </c>
      <c r="F77" s="53">
        <v>0</v>
      </c>
      <c r="G77" s="53">
        <v>0</v>
      </c>
    </row>
    <row r="78" spans="1:7">
      <c r="A78">
        <f>IFERROR(IF(B78="",0,IF(VALUE(LEFT(B78,1))&gt;3,VLOOKUP(VALUE(B78),PROYECCIONES!B:D,3,FALSE),0)),1 + COUNTIF($A$2:A77,"&gt;0"))</f>
        <v>0</v>
      </c>
      <c r="B78" s="52" t="s">
        <v>303</v>
      </c>
      <c r="C78" s="52" t="s">
        <v>256</v>
      </c>
      <c r="D78" s="53">
        <v>-3.5762786865234401E-7</v>
      </c>
      <c r="E78" s="53">
        <v>92465472.390000001</v>
      </c>
      <c r="F78" s="53">
        <v>92465472.390000001</v>
      </c>
      <c r="G78" s="53">
        <v>-3.5762786865234401E-7</v>
      </c>
    </row>
    <row r="79" spans="1:7">
      <c r="A79">
        <f>IFERROR(IF(B79="",0,IF(VALUE(LEFT(B79,1))&gt;3,VLOOKUP(VALUE(B79),PROYECCIONES!B:D,3,FALSE),0)),1 + COUNTIF($A$2:A78,"&gt;0"))</f>
        <v>0</v>
      </c>
      <c r="B79" s="52" t="s">
        <v>304</v>
      </c>
      <c r="C79" s="52" t="s">
        <v>257</v>
      </c>
      <c r="D79" s="53">
        <v>5.5879354476928703E-9</v>
      </c>
      <c r="E79" s="53">
        <v>4160099.02</v>
      </c>
      <c r="F79" s="53">
        <v>4160099.02</v>
      </c>
      <c r="G79" s="53">
        <v>3.7252902984619099E-9</v>
      </c>
    </row>
    <row r="80" spans="1:7">
      <c r="A80">
        <f>IFERROR(IF(B80="",0,IF(VALUE(LEFT(B80,1))&gt;3,VLOOKUP(VALUE(B80),PROYECCIONES!B:D,3,FALSE),0)),1 + COUNTIF($A$2:A79,"&gt;0"))</f>
        <v>0</v>
      </c>
      <c r="B80" s="52" t="s">
        <v>305</v>
      </c>
      <c r="C80" s="52" t="s">
        <v>258</v>
      </c>
      <c r="D80" s="53">
        <v>7.4505805969238298E-9</v>
      </c>
      <c r="E80" s="53">
        <v>9814017.5899999999</v>
      </c>
      <c r="F80" s="53">
        <v>10840017.59</v>
      </c>
      <c r="G80" s="53">
        <v>-1026000</v>
      </c>
    </row>
    <row r="81" spans="1:7">
      <c r="A81">
        <f>IFERROR(IF(B81="",0,IF(VALUE(LEFT(B81,1))&gt;3,VLOOKUP(VALUE(B81),PROYECCIONES!B:D,3,FALSE),0)),1 + COUNTIF($A$2:A80,"&gt;0"))</f>
        <v>0</v>
      </c>
      <c r="B81" s="52" t="s">
        <v>384</v>
      </c>
      <c r="C81" s="52" t="s">
        <v>385</v>
      </c>
      <c r="D81" s="53">
        <v>0</v>
      </c>
      <c r="E81" s="53">
        <v>846847.82</v>
      </c>
      <c r="F81" s="53">
        <v>846847.82</v>
      </c>
      <c r="G81" s="53">
        <v>0</v>
      </c>
    </row>
    <row r="82" spans="1:7">
      <c r="A82">
        <f>IFERROR(IF(B82="",0,IF(VALUE(LEFT(B82,1))&gt;3,VLOOKUP(VALUE(B82),PROYECCIONES!B:D,3,FALSE),0)),1 + COUNTIF($A$2:A81,"&gt;0"))</f>
        <v>0</v>
      </c>
      <c r="B82" s="52" t="s">
        <v>576</v>
      </c>
      <c r="C82" s="52" t="s">
        <v>577</v>
      </c>
      <c r="D82" s="53">
        <v>1.8626451492309599E-9</v>
      </c>
      <c r="E82" s="53">
        <v>3090677.37</v>
      </c>
      <c r="F82" s="53">
        <v>3090677.37</v>
      </c>
      <c r="G82" s="53">
        <v>3.7252902984619099E-9</v>
      </c>
    </row>
    <row r="83" spans="1:7">
      <c r="A83">
        <f>IFERROR(IF(B83="",0,IF(VALUE(LEFT(B83,1))&gt;3,VLOOKUP(VALUE(B83),PROYECCIONES!B:D,3,FALSE),0)),1 + COUNTIF($A$2:A82,"&gt;0"))</f>
        <v>0</v>
      </c>
      <c r="B83" s="52" t="s">
        <v>475</v>
      </c>
      <c r="C83" s="52" t="s">
        <v>476</v>
      </c>
      <c r="D83" s="53">
        <v>-35410863.340000004</v>
      </c>
      <c r="E83" s="53">
        <v>72641708.400000006</v>
      </c>
      <c r="F83" s="53">
        <v>72167683.590000004</v>
      </c>
      <c r="G83" s="53">
        <v>-34936838.530000098</v>
      </c>
    </row>
    <row r="84" spans="1:7">
      <c r="A84">
        <f>IFERROR(IF(B84="",0,IF(VALUE(LEFT(B84,1))&gt;3,VLOOKUP(VALUE(B84),PROYECCIONES!B:D,3,FALSE),0)),1 + COUNTIF($A$2:A83,"&gt;0"))</f>
        <v>0</v>
      </c>
      <c r="B84" s="52" t="s">
        <v>306</v>
      </c>
      <c r="C84" s="52" t="s">
        <v>89</v>
      </c>
      <c r="D84" s="53">
        <v>-1786000</v>
      </c>
      <c r="E84" s="53">
        <v>154109221</v>
      </c>
      <c r="F84" s="53">
        <v>153360393</v>
      </c>
      <c r="G84" s="53">
        <v>-1037172</v>
      </c>
    </row>
    <row r="85" spans="1:7">
      <c r="A85">
        <f>IFERROR(IF(B85="",0,IF(VALUE(LEFT(B85,1))&gt;3,VLOOKUP(VALUE(B85),PROYECCIONES!B:D,3,FALSE),0)),1 + COUNTIF($A$2:A84,"&gt;0"))</f>
        <v>0</v>
      </c>
      <c r="B85" s="52" t="s">
        <v>307</v>
      </c>
      <c r="C85" s="52" t="s">
        <v>259</v>
      </c>
      <c r="D85" s="53">
        <v>-14595603</v>
      </c>
      <c r="E85" s="53">
        <v>14595603</v>
      </c>
      <c r="F85" s="53">
        <v>0</v>
      </c>
      <c r="G85" s="53">
        <v>0</v>
      </c>
    </row>
    <row r="86" spans="1:7">
      <c r="A86">
        <f>IFERROR(IF(B86="",0,IF(VALUE(LEFT(B86,1))&gt;3,VLOOKUP(VALUE(B86),PROYECCIONES!B:D,3,FALSE),0)),1 + COUNTIF($A$2:A85,"&gt;0"))</f>
        <v>0</v>
      </c>
      <c r="B86" s="52" t="s">
        <v>308</v>
      </c>
      <c r="C86" s="52" t="s">
        <v>260</v>
      </c>
      <c r="D86" s="53">
        <v>-1568734</v>
      </c>
      <c r="E86" s="53">
        <v>1568734</v>
      </c>
      <c r="F86" s="53">
        <v>0</v>
      </c>
      <c r="G86" s="53">
        <v>0</v>
      </c>
    </row>
    <row r="87" spans="1:7">
      <c r="A87">
        <f>IFERROR(IF(B87="",0,IF(VALUE(LEFT(B87,1))&gt;3,VLOOKUP(VALUE(B87),PROYECCIONES!B:D,3,FALSE),0)),1 + COUNTIF($A$2:A86,"&gt;0"))</f>
        <v>0</v>
      </c>
      <c r="B87" s="52" t="s">
        <v>578</v>
      </c>
      <c r="C87" s="52" t="s">
        <v>579</v>
      </c>
      <c r="D87" s="53">
        <v>0</v>
      </c>
      <c r="E87" s="53">
        <v>8021734</v>
      </c>
      <c r="F87" s="53">
        <v>8021734</v>
      </c>
      <c r="G87" s="53">
        <v>0</v>
      </c>
    </row>
    <row r="88" spans="1:7">
      <c r="A88">
        <f>IFERROR(IF(B88="",0,IF(VALUE(LEFT(B88,1))&gt;3,VLOOKUP(VALUE(B88),PROYECCIONES!B:D,3,FALSE),0)),1 + COUNTIF($A$2:A87,"&gt;0"))</f>
        <v>0</v>
      </c>
      <c r="B88" s="52" t="s">
        <v>446</v>
      </c>
      <c r="C88" s="52" t="s">
        <v>447</v>
      </c>
      <c r="D88" s="53">
        <v>0</v>
      </c>
      <c r="E88" s="53">
        <v>0</v>
      </c>
      <c r="F88" s="53">
        <v>10723792</v>
      </c>
      <c r="G88" s="53">
        <v>-10723792</v>
      </c>
    </row>
    <row r="89" spans="1:7">
      <c r="A89">
        <f>IFERROR(IF(B89="",0,IF(VALUE(LEFT(B89,1))&gt;3,VLOOKUP(VALUE(B89),PROYECCIONES!B:D,3,FALSE),0)),1 + COUNTIF($A$2:A88,"&gt;0"))</f>
        <v>0</v>
      </c>
      <c r="B89" s="52" t="s">
        <v>448</v>
      </c>
      <c r="C89" s="52" t="s">
        <v>449</v>
      </c>
      <c r="D89" s="53">
        <v>0</v>
      </c>
      <c r="E89" s="53">
        <v>0</v>
      </c>
      <c r="F89" s="53">
        <v>1286865</v>
      </c>
      <c r="G89" s="53">
        <v>-1286865</v>
      </c>
    </row>
    <row r="90" spans="1:7">
      <c r="A90">
        <f>IFERROR(IF(B90="",0,IF(VALUE(LEFT(B90,1))&gt;3,VLOOKUP(VALUE(B90),PROYECCIONES!B:D,3,FALSE),0)),1 + COUNTIF($A$2:A89,"&gt;0"))</f>
        <v>0</v>
      </c>
      <c r="B90" s="52" t="s">
        <v>450</v>
      </c>
      <c r="C90" s="52" t="s">
        <v>451</v>
      </c>
      <c r="D90" s="53">
        <v>0</v>
      </c>
      <c r="E90" s="53">
        <v>0</v>
      </c>
      <c r="F90" s="53">
        <v>5155846</v>
      </c>
      <c r="G90" s="53">
        <v>-5155846</v>
      </c>
    </row>
    <row r="91" spans="1:7">
      <c r="A91">
        <f>IFERROR(IF(B91="",0,IF(VALUE(LEFT(B91,1))&gt;3,VLOOKUP(VALUE(B91),PROYECCIONES!B:D,3,FALSE),0)),1 + COUNTIF($A$2:A90,"&gt;0"))</f>
        <v>0</v>
      </c>
      <c r="B91" s="52" t="s">
        <v>452</v>
      </c>
      <c r="C91" s="52" t="s">
        <v>453</v>
      </c>
      <c r="D91" s="53">
        <v>0</v>
      </c>
      <c r="E91" s="53">
        <v>8021734</v>
      </c>
      <c r="F91" s="53">
        <v>9355803</v>
      </c>
      <c r="G91" s="53">
        <v>-1334069</v>
      </c>
    </row>
    <row r="92" spans="1:7">
      <c r="A92">
        <f>IFERROR(IF(B92="",0,IF(VALUE(LEFT(B92,1))&gt;3,VLOOKUP(VALUE(B92),PROYECCIONES!B:D,3,FALSE),0)),1 + COUNTIF($A$2:A91,"&gt;0"))</f>
        <v>0</v>
      </c>
      <c r="B92" s="52" t="s">
        <v>593</v>
      </c>
      <c r="C92" s="52" t="s">
        <v>594</v>
      </c>
      <c r="D92" s="53">
        <v>0</v>
      </c>
      <c r="E92" s="53">
        <v>26977138</v>
      </c>
      <c r="F92" s="53">
        <v>26977138</v>
      </c>
      <c r="G92" s="53">
        <v>0</v>
      </c>
    </row>
    <row r="93" spans="1:7">
      <c r="A93">
        <f>IFERROR(IF(B93="",0,IF(VALUE(LEFT(B93,1))&gt;3,VLOOKUP(VALUE(B93),PROYECCIONES!B:D,3,FALSE),0)),1 + COUNTIF($A$2:A92,"&gt;0"))</f>
        <v>0</v>
      </c>
      <c r="B93" s="52" t="s">
        <v>477</v>
      </c>
      <c r="C93" s="52" t="s">
        <v>478</v>
      </c>
      <c r="D93" s="53">
        <v>-3778917.1</v>
      </c>
      <c r="E93" s="53">
        <v>3778917.1</v>
      </c>
      <c r="F93" s="53">
        <v>0</v>
      </c>
      <c r="G93" s="53">
        <v>0</v>
      </c>
    </row>
    <row r="94" spans="1:7">
      <c r="A94">
        <f>IFERROR(IF(B94="",0,IF(VALUE(LEFT(B94,1))&gt;3,VLOOKUP(VALUE(B94),PROYECCIONES!B:D,3,FALSE),0)),1 + COUNTIF($A$2:A93,"&gt;0"))</f>
        <v>0</v>
      </c>
      <c r="B94" s="52" t="s">
        <v>479</v>
      </c>
      <c r="C94" s="52" t="s">
        <v>480</v>
      </c>
      <c r="D94" s="53">
        <v>-180390</v>
      </c>
      <c r="E94" s="53">
        <v>180390</v>
      </c>
      <c r="F94" s="53">
        <v>0</v>
      </c>
      <c r="G94" s="53">
        <v>0</v>
      </c>
    </row>
    <row r="95" spans="1:7">
      <c r="A95">
        <f>IFERROR(IF(B95="",0,IF(VALUE(LEFT(B95,1))&gt;3,VLOOKUP(VALUE(B95),PROYECCIONES!B:D,3,FALSE),0)),1 + COUNTIF($A$2:A94,"&gt;0"))</f>
        <v>0</v>
      </c>
      <c r="B95" s="52" t="s">
        <v>587</v>
      </c>
      <c r="C95" s="52" t="s">
        <v>588</v>
      </c>
      <c r="D95" s="53">
        <v>0</v>
      </c>
      <c r="E95" s="53">
        <v>0</v>
      </c>
      <c r="F95" s="53">
        <v>9018938</v>
      </c>
      <c r="G95" s="53">
        <v>-9018938</v>
      </c>
    </row>
    <row r="96" spans="1:7">
      <c r="A96">
        <f>IFERROR(IF(B96="",0,IF(VALUE(LEFT(B96,1))&gt;3,VLOOKUP(VALUE(B96),PROYECCIONES!B:D,3,FALSE),0)),1 + COUNTIF($A$2:A95,"&gt;0"))</f>
        <v>0</v>
      </c>
      <c r="B96" s="52" t="s">
        <v>309</v>
      </c>
      <c r="C96" s="52" t="s">
        <v>261</v>
      </c>
      <c r="D96" s="53">
        <v>-100000000</v>
      </c>
      <c r="E96" s="53">
        <v>0</v>
      </c>
      <c r="F96" s="53">
        <v>0</v>
      </c>
      <c r="G96" s="53">
        <v>-100000000</v>
      </c>
    </row>
    <row r="97" spans="1:7">
      <c r="A97">
        <f>IFERROR(IF(B97="",0,IF(VALUE(LEFT(B97,1))&gt;3,VLOOKUP(VALUE(B97),PROYECCIONES!B:D,3,FALSE),0)),1 + COUNTIF($A$2:A96,"&gt;0"))</f>
        <v>0</v>
      </c>
      <c r="B97" s="52" t="s">
        <v>310</v>
      </c>
      <c r="C97" s="52" t="s">
        <v>262</v>
      </c>
      <c r="D97" s="53">
        <v>69000000</v>
      </c>
      <c r="E97" s="53">
        <v>0</v>
      </c>
      <c r="F97" s="53">
        <v>0</v>
      </c>
      <c r="G97" s="53">
        <v>69000000</v>
      </c>
    </row>
    <row r="98" spans="1:7">
      <c r="A98">
        <f>IFERROR(IF(B98="",0,IF(VALUE(LEFT(B98,1))&gt;3,VLOOKUP(VALUE(B98),PROYECCIONES!B:D,3,FALSE),0)),1 + COUNTIF($A$2:A97,"&gt;0"))</f>
        <v>0</v>
      </c>
      <c r="B98" s="52" t="s">
        <v>481</v>
      </c>
      <c r="C98" s="52" t="s">
        <v>482</v>
      </c>
      <c r="D98" s="53">
        <v>-41626840.030000001</v>
      </c>
      <c r="E98" s="53">
        <v>41626840.030000001</v>
      </c>
      <c r="F98" s="53">
        <v>0</v>
      </c>
      <c r="G98" s="53">
        <v>0</v>
      </c>
    </row>
    <row r="99" spans="1:7">
      <c r="A99">
        <f>IFERROR(IF(B99="",0,IF(VALUE(LEFT(B99,1))&gt;3,VLOOKUP(VALUE(B99),PROYECCIONES!B:D,3,FALSE),0)),1 + COUNTIF($A$2:A98,"&gt;0"))</f>
        <v>0</v>
      </c>
      <c r="B99" s="52" t="s">
        <v>521</v>
      </c>
      <c r="C99" s="52" t="s">
        <v>522</v>
      </c>
      <c r="D99" s="53">
        <v>0</v>
      </c>
      <c r="E99" s="53">
        <v>22802400</v>
      </c>
      <c r="F99" s="53">
        <v>121913000</v>
      </c>
      <c r="G99" s="53">
        <v>-99110600</v>
      </c>
    </row>
    <row r="100" spans="1:7">
      <c r="A100">
        <f>IFERROR(IF(B100="",0,IF(VALUE(LEFT(B100,1))&gt;3,VLOOKUP(VALUE(B100),PROYECCIONES!B:D,3,FALSE),0)),1 + COUNTIF($A$2:A99,"&gt;0"))</f>
        <v>0</v>
      </c>
      <c r="B100" s="52" t="s">
        <v>523</v>
      </c>
      <c r="C100" s="52" t="s">
        <v>524</v>
      </c>
      <c r="D100" s="53">
        <v>0</v>
      </c>
      <c r="E100" s="53">
        <v>0</v>
      </c>
      <c r="F100" s="53">
        <v>9320635</v>
      </c>
      <c r="G100" s="53">
        <v>-9320635</v>
      </c>
    </row>
    <row r="101" spans="1:7">
      <c r="A101">
        <f>IFERROR(IF(B101="",0,IF(VALUE(LEFT(B101,1))&gt;3,VLOOKUP(VALUE(B101),PROYECCIONES!B:D,3,FALSE),0)),1 + COUNTIF($A$2:A100,"&gt;0"))</f>
        <v>0</v>
      </c>
      <c r="B101" s="52" t="s">
        <v>525</v>
      </c>
      <c r="C101" s="52" t="s">
        <v>526</v>
      </c>
      <c r="D101" s="53">
        <v>0</v>
      </c>
      <c r="E101" s="53">
        <v>0</v>
      </c>
      <c r="F101" s="53">
        <v>106347119</v>
      </c>
      <c r="G101" s="53">
        <v>-106347119</v>
      </c>
    </row>
    <row r="102" spans="1:7">
      <c r="A102">
        <f>IFERROR(IF(B102="",0,IF(VALUE(LEFT(B102,1))&gt;3,VLOOKUP(VALUE(B102),PROYECCIONES!B:D,3,FALSE),0)),1 + COUNTIF($A$2:A101,"&gt;0"))</f>
        <v>0</v>
      </c>
      <c r="B102" s="52" t="s">
        <v>527</v>
      </c>
      <c r="C102" s="52" t="s">
        <v>528</v>
      </c>
      <c r="D102" s="53">
        <v>0</v>
      </c>
      <c r="E102" s="53">
        <v>0</v>
      </c>
      <c r="F102" s="53">
        <v>41185457</v>
      </c>
      <c r="G102" s="53">
        <v>-41185457</v>
      </c>
    </row>
    <row r="103" spans="1:7">
      <c r="A103">
        <f>IFERROR(IF(B103="",0,IF(VALUE(LEFT(B103,1))&gt;3,VLOOKUP(VALUE(B103),PROYECCIONES!B:D,3,FALSE),0)),1 + COUNTIF($A$2:A102,"&gt;0"))</f>
        <v>0</v>
      </c>
      <c r="B103" s="52" t="s">
        <v>529</v>
      </c>
      <c r="C103" s="52" t="s">
        <v>530</v>
      </c>
      <c r="D103" s="53">
        <v>0</v>
      </c>
      <c r="E103" s="53">
        <v>0</v>
      </c>
      <c r="F103" s="53">
        <v>46049185</v>
      </c>
      <c r="G103" s="53">
        <v>-46049185</v>
      </c>
    </row>
    <row r="104" spans="1:7">
      <c r="A104">
        <f>IFERROR(IF(B104="",0,IF(VALUE(LEFT(B104,1))&gt;3,VLOOKUP(VALUE(B104),PROYECCIONES!B:D,3,FALSE),0)),1 + COUNTIF($A$2:A103,"&gt;0"))</f>
        <v>0</v>
      </c>
      <c r="B104" s="52" t="s">
        <v>531</v>
      </c>
      <c r="C104" s="52" t="s">
        <v>532</v>
      </c>
      <c r="D104" s="53">
        <v>0</v>
      </c>
      <c r="E104" s="53">
        <v>0</v>
      </c>
      <c r="F104" s="53">
        <v>41626840.030000001</v>
      </c>
      <c r="G104" s="53">
        <v>-41626840.030000001</v>
      </c>
    </row>
    <row r="105" spans="1:7">
      <c r="A105">
        <f>IFERROR(IF(B105="",0,IF(VALUE(LEFT(B105,1))&gt;3,VLOOKUP(VALUE(B105),PROYECCIONES!B:D,3,FALSE),0)),1 + COUNTIF($A$2:A104,"&gt;0"))</f>
        <v>0</v>
      </c>
      <c r="B105" s="52" t="s">
        <v>311</v>
      </c>
      <c r="C105" s="52" t="s">
        <v>263</v>
      </c>
      <c r="D105" s="53">
        <v>-324855397.33999997</v>
      </c>
      <c r="E105" s="53">
        <v>324855397.33999997</v>
      </c>
      <c r="F105" s="53">
        <v>0</v>
      </c>
      <c r="G105" s="53">
        <v>-5.9604644775390599E-8</v>
      </c>
    </row>
    <row r="106" spans="1:7">
      <c r="A106">
        <f>IFERROR(IF(B106="",0,IF(VALUE(LEFT(B106,1))&gt;3,VLOOKUP(VALUE(B106),PROYECCIONES!B:D,3,FALSE),0)),1 + COUNTIF($A$2:A105,"&gt;0"))</f>
        <v>0</v>
      </c>
      <c r="B106" s="52" t="s">
        <v>312</v>
      </c>
      <c r="C106" s="52" t="s">
        <v>119</v>
      </c>
      <c r="D106" s="53">
        <v>0</v>
      </c>
      <c r="E106" s="53">
        <v>0</v>
      </c>
      <c r="F106" s="53">
        <v>368841672</v>
      </c>
      <c r="G106" s="53">
        <v>-368841672</v>
      </c>
    </row>
    <row r="107" spans="1:7">
      <c r="A107">
        <f>IFERROR(IF(B107="",0,IF(VALUE(LEFT(B107,1))&gt;3,VLOOKUP(VALUE(B107),PROYECCIONES!B:D,3,FALSE),0)),1 + COUNTIF($A$2:A106,"&gt;0"))</f>
        <v>0</v>
      </c>
      <c r="B107" s="52" t="s">
        <v>386</v>
      </c>
      <c r="C107" s="52" t="s">
        <v>120</v>
      </c>
      <c r="D107" s="53">
        <v>0</v>
      </c>
      <c r="E107" s="53">
        <v>0</v>
      </c>
      <c r="F107" s="53">
        <v>106329709</v>
      </c>
      <c r="G107" s="53">
        <v>-106329709</v>
      </c>
    </row>
    <row r="108" spans="1:7">
      <c r="A108">
        <f>IFERROR(IF(B108="",0,IF(VALUE(LEFT(B108,1))&gt;3,VLOOKUP(VALUE(B108),PROYECCIONES!B:D,3,FALSE),0)),1 + COUNTIF($A$2:A107,"&gt;0"))</f>
        <v>0</v>
      </c>
      <c r="B108" s="52" t="s">
        <v>540</v>
      </c>
      <c r="C108" s="52" t="s">
        <v>191</v>
      </c>
      <c r="D108" s="53">
        <v>0</v>
      </c>
      <c r="E108" s="53">
        <v>0</v>
      </c>
      <c r="F108" s="53">
        <v>1009000</v>
      </c>
      <c r="G108" s="53">
        <v>-1009000</v>
      </c>
    </row>
    <row r="109" spans="1:7">
      <c r="A109">
        <f>IFERROR(IF(B109="",0,IF(VALUE(LEFT(B109,1))&gt;3,VLOOKUP(VALUE(B109),PROYECCIONES!B:D,3,FALSE),0)),1 + COUNTIF($A$2:A108,"&gt;0"))</f>
        <v>0</v>
      </c>
      <c r="B109" s="52" t="s">
        <v>541</v>
      </c>
      <c r="C109" s="52" t="s">
        <v>200</v>
      </c>
      <c r="D109" s="53">
        <v>0</v>
      </c>
      <c r="E109" s="53">
        <v>0</v>
      </c>
      <c r="F109" s="53">
        <v>7000000</v>
      </c>
      <c r="G109" s="53">
        <v>-7000000</v>
      </c>
    </row>
    <row r="110" spans="1:7">
      <c r="A110">
        <f>IFERROR(IF(B110="",0,IF(VALUE(LEFT(B110,1))&gt;3,VLOOKUP(VALUE(B110),PROYECCIONES!B:D,3,FALSE),0)),1 + COUNTIF($A$2:A109,"&gt;0"))</f>
        <v>0</v>
      </c>
      <c r="B110" s="52" t="s">
        <v>560</v>
      </c>
      <c r="C110" s="52" t="s">
        <v>419</v>
      </c>
      <c r="D110" s="53">
        <v>0</v>
      </c>
      <c r="E110" s="53">
        <v>0</v>
      </c>
      <c r="F110" s="53">
        <v>3480000</v>
      </c>
      <c r="G110" s="53">
        <v>-3480000</v>
      </c>
    </row>
    <row r="111" spans="1:7">
      <c r="A111">
        <f>IFERROR(IF(B111="",0,IF(VALUE(LEFT(B111,1))&gt;3,VLOOKUP(VALUE(B111),PROYECCIONES!B:D,3,FALSE),0)),1 + COUNTIF($A$2:A110,"&gt;0"))</f>
        <v>0</v>
      </c>
      <c r="B111" s="52" t="s">
        <v>580</v>
      </c>
      <c r="C111" s="52" t="s">
        <v>121</v>
      </c>
      <c r="D111" s="53">
        <v>0</v>
      </c>
      <c r="E111" s="53">
        <v>16266723</v>
      </c>
      <c r="F111" s="53">
        <v>0</v>
      </c>
      <c r="G111" s="53">
        <v>16266723</v>
      </c>
    </row>
    <row r="112" spans="1:7">
      <c r="A112">
        <f>IFERROR(IF(B112="",0,IF(VALUE(LEFT(B112,1))&gt;3,VLOOKUP(VALUE(B112),PROYECCIONES!B:D,3,FALSE),0)),1 + COUNTIF($A$2:A111,"&gt;0"))</f>
        <v>0</v>
      </c>
      <c r="B112" s="52" t="s">
        <v>589</v>
      </c>
      <c r="C112" s="52" t="s">
        <v>590</v>
      </c>
      <c r="D112" s="53">
        <v>0</v>
      </c>
      <c r="E112" s="53">
        <v>0</v>
      </c>
      <c r="F112" s="53">
        <v>776726</v>
      </c>
      <c r="G112" s="53">
        <v>-776726</v>
      </c>
    </row>
    <row r="113" spans="1:7">
      <c r="A113">
        <f>IFERROR(IF(B113="",0,IF(VALUE(LEFT(B113,1))&gt;3,VLOOKUP(VALUE(B113),PROYECCIONES!B:D,3,FALSE),0)),1 + COUNTIF($A$2:A112,"&gt;0"))</f>
        <v>0</v>
      </c>
      <c r="B113" s="52" t="s">
        <v>313</v>
      </c>
      <c r="C113" s="52" t="s">
        <v>122</v>
      </c>
      <c r="D113" s="53">
        <v>2.91038304567337E-11</v>
      </c>
      <c r="E113" s="53">
        <v>0</v>
      </c>
      <c r="F113" s="53">
        <v>11661.12</v>
      </c>
      <c r="G113" s="53">
        <v>-11661.12</v>
      </c>
    </row>
    <row r="114" spans="1:7">
      <c r="A114">
        <f>IFERROR(IF(B114="",0,IF(VALUE(LEFT(B114,1))&gt;3,VLOOKUP(VALUE(B114),PROYECCIONES!B:D,3,FALSE),0)),1 + COUNTIF($A$2:A113,"&gt;0"))</f>
        <v>0</v>
      </c>
      <c r="B114" s="52" t="s">
        <v>598</v>
      </c>
      <c r="C114" s="52" t="s">
        <v>599</v>
      </c>
      <c r="D114" s="53">
        <v>0</v>
      </c>
      <c r="E114" s="53">
        <v>0</v>
      </c>
      <c r="F114" s="53">
        <v>1645138.5</v>
      </c>
      <c r="G114" s="53">
        <v>-1645138.5</v>
      </c>
    </row>
    <row r="115" spans="1:7">
      <c r="A115">
        <f>IFERROR(IF(B115="",0,IF(VALUE(LEFT(B115,1))&gt;3,VLOOKUP(VALUE(B115),PROYECCIONES!B:D,3,FALSE),0)),1 + COUNTIF($A$2:A114,"&gt;0"))</f>
        <v>0</v>
      </c>
      <c r="B115" s="52" t="s">
        <v>542</v>
      </c>
      <c r="C115" s="52" t="s">
        <v>543</v>
      </c>
      <c r="D115" s="53">
        <v>0</v>
      </c>
      <c r="E115" s="53">
        <v>0</v>
      </c>
      <c r="F115" s="53">
        <v>1218750</v>
      </c>
      <c r="G115" s="53">
        <v>-1218750</v>
      </c>
    </row>
    <row r="116" spans="1:7">
      <c r="A116">
        <f>IFERROR(IF(B116="",0,IF(VALUE(LEFT(B116,1))&gt;3,VLOOKUP(VALUE(B116),PROYECCIONES!B:D,3,FALSE),0)),1 + COUNTIF($A$2:A115,"&gt;0"))</f>
        <v>0</v>
      </c>
      <c r="B116" s="52" t="s">
        <v>314</v>
      </c>
      <c r="C116" s="52" t="s">
        <v>99</v>
      </c>
      <c r="D116" s="53">
        <v>0</v>
      </c>
      <c r="E116" s="53">
        <v>0</v>
      </c>
      <c r="F116" s="53">
        <v>30.660000000001599</v>
      </c>
      <c r="G116" s="53">
        <v>-30.6600000000035</v>
      </c>
    </row>
    <row r="117" spans="1:7">
      <c r="A117">
        <f>IFERROR(IF(B117="",0,IF(VALUE(LEFT(B117,1))&gt;3,VLOOKUP(VALUE(B117),PROYECCIONES!B:D,3,FALSE),0)),1 + COUNTIF($A$2:A116,"&gt;0"))</f>
        <v>0</v>
      </c>
      <c r="B117" s="52" t="s">
        <v>315</v>
      </c>
      <c r="C117" s="52" t="s">
        <v>100</v>
      </c>
      <c r="D117" s="53">
        <v>0</v>
      </c>
      <c r="E117" s="53">
        <v>49726667</v>
      </c>
      <c r="F117" s="53">
        <v>0</v>
      </c>
      <c r="G117" s="53">
        <v>49726667</v>
      </c>
    </row>
    <row r="118" spans="1:7">
      <c r="A118">
        <f>IFERROR(IF(B118="",0,IF(VALUE(LEFT(B118,1))&gt;3,VLOOKUP(VALUE(B118),PROYECCIONES!B:D,3,FALSE),0)),1 + COUNTIF($A$2:A117,"&gt;0"))</f>
        <v>0</v>
      </c>
      <c r="B118" s="52" t="s">
        <v>316</v>
      </c>
      <c r="C118" s="52" t="s">
        <v>101</v>
      </c>
      <c r="D118" s="53">
        <v>0</v>
      </c>
      <c r="E118" s="53">
        <v>1664954</v>
      </c>
      <c r="F118" s="53">
        <v>0</v>
      </c>
      <c r="G118" s="53">
        <v>1664954</v>
      </c>
    </row>
    <row r="119" spans="1:7">
      <c r="A119">
        <f>IFERROR(IF(B119="",0,IF(VALUE(LEFT(B119,1))&gt;3,VLOOKUP(VALUE(B119),PROYECCIONES!B:D,3,FALSE),0)),1 + COUNTIF($A$2:A118,"&gt;0"))</f>
        <v>0</v>
      </c>
      <c r="B119" s="52" t="s">
        <v>317</v>
      </c>
      <c r="C119" s="52" t="s">
        <v>96</v>
      </c>
      <c r="D119" s="53">
        <v>0</v>
      </c>
      <c r="E119" s="53">
        <v>4370036</v>
      </c>
      <c r="F119" s="53">
        <v>0</v>
      </c>
      <c r="G119" s="53">
        <v>4370036</v>
      </c>
    </row>
    <row r="120" spans="1:7">
      <c r="A120">
        <f>IFERROR(IF(B120="",0,IF(VALUE(LEFT(B120,1))&gt;3,VLOOKUP(VALUE(B120),PROYECCIONES!B:D,3,FALSE),0)),1 + COUNTIF($A$2:A119,"&gt;0"))</f>
        <v>0</v>
      </c>
      <c r="B120" s="52" t="s">
        <v>318</v>
      </c>
      <c r="C120" s="52" t="s">
        <v>102</v>
      </c>
      <c r="D120" s="53">
        <v>0</v>
      </c>
      <c r="E120" s="53">
        <v>524408</v>
      </c>
      <c r="F120" s="53">
        <v>0</v>
      </c>
      <c r="G120" s="53">
        <v>524408</v>
      </c>
    </row>
    <row r="121" spans="1:7">
      <c r="A121">
        <f>IFERROR(IF(B121="",0,IF(VALUE(LEFT(B121,1))&gt;3,VLOOKUP(VALUE(B121),PROYECCIONES!B:D,3,FALSE),0)),1 + COUNTIF($A$2:A120,"&gt;0"))</f>
        <v>0</v>
      </c>
      <c r="B121" s="52" t="s">
        <v>319</v>
      </c>
      <c r="C121" s="52" t="s">
        <v>97</v>
      </c>
      <c r="D121" s="53">
        <v>0</v>
      </c>
      <c r="E121" s="53">
        <v>3800507</v>
      </c>
      <c r="F121" s="53">
        <v>0</v>
      </c>
      <c r="G121" s="53">
        <v>3800507</v>
      </c>
    </row>
    <row r="122" spans="1:7">
      <c r="A122">
        <f>IFERROR(IF(B122="",0,IF(VALUE(LEFT(B122,1))&gt;3,VLOOKUP(VALUE(B122),PROYECCIONES!B:D,3,FALSE),0)),1 + COUNTIF($A$2:A121,"&gt;0"))</f>
        <v>0</v>
      </c>
      <c r="B122" s="52" t="s">
        <v>320</v>
      </c>
      <c r="C122" s="52" t="s">
        <v>98</v>
      </c>
      <c r="D122" s="53">
        <v>0</v>
      </c>
      <c r="E122" s="53">
        <v>2116674</v>
      </c>
      <c r="F122" s="53">
        <v>0</v>
      </c>
      <c r="G122" s="53">
        <v>2116674</v>
      </c>
    </row>
    <row r="123" spans="1:7">
      <c r="A123">
        <f>IFERROR(IF(B123="",0,IF(VALUE(LEFT(B123,1))&gt;3,VLOOKUP(VALUE(B123),PROYECCIONES!B:D,3,FALSE),0)),1 + COUNTIF($A$2:A122,"&gt;0"))</f>
        <v>0</v>
      </c>
      <c r="B123" s="52" t="s">
        <v>606</v>
      </c>
      <c r="C123" s="52" t="s">
        <v>607</v>
      </c>
      <c r="D123" s="53">
        <v>0</v>
      </c>
      <c r="E123" s="53">
        <v>210500</v>
      </c>
      <c r="F123" s="53">
        <v>0</v>
      </c>
      <c r="G123" s="53">
        <v>210500</v>
      </c>
    </row>
    <row r="124" spans="1:7">
      <c r="A124">
        <f>IFERROR(IF(B124="",0,IF(VALUE(LEFT(B124,1))&gt;3,VLOOKUP(VALUE(B124),PROYECCIONES!B:D,3,FALSE),0)),1 + COUNTIF($A$2:A123,"&gt;0"))</f>
        <v>0</v>
      </c>
      <c r="B124" s="52" t="s">
        <v>484</v>
      </c>
      <c r="C124" s="52" t="s">
        <v>485</v>
      </c>
      <c r="D124" s="53">
        <v>0</v>
      </c>
      <c r="E124" s="53">
        <v>104040</v>
      </c>
      <c r="F124" s="53">
        <v>0</v>
      </c>
      <c r="G124" s="53">
        <v>104040</v>
      </c>
    </row>
    <row r="125" spans="1:7">
      <c r="A125">
        <f>IFERROR(IF(B125="",0,IF(VALUE(LEFT(B125,1))&gt;3,VLOOKUP(VALUE(B125),PROYECCIONES!B:D,3,FALSE),0)),1 + COUNTIF($A$2:A124,"&gt;0"))</f>
        <v>0</v>
      </c>
      <c r="B125" s="52" t="s">
        <v>387</v>
      </c>
      <c r="C125" s="52" t="s">
        <v>90</v>
      </c>
      <c r="D125" s="53">
        <v>0</v>
      </c>
      <c r="E125" s="53">
        <v>537475.55000000005</v>
      </c>
      <c r="F125" s="53">
        <v>0</v>
      </c>
      <c r="G125" s="53">
        <v>537475.55000000005</v>
      </c>
    </row>
    <row r="126" spans="1:7">
      <c r="A126">
        <f>IFERROR(IF(B126="",0,IF(VALUE(LEFT(B126,1))&gt;3,VLOOKUP(VALUE(B126),PROYECCIONES!B:D,3,FALSE),0)),1 + COUNTIF($A$2:A125,"&gt;0"))</f>
        <v>0</v>
      </c>
      <c r="B126" s="52" t="s">
        <v>321</v>
      </c>
      <c r="C126" s="52" t="s">
        <v>103</v>
      </c>
      <c r="D126" s="53">
        <v>0</v>
      </c>
      <c r="E126" s="53">
        <v>7293639</v>
      </c>
      <c r="F126" s="53">
        <v>0</v>
      </c>
      <c r="G126" s="53">
        <v>7293639</v>
      </c>
    </row>
    <row r="127" spans="1:7">
      <c r="A127">
        <f>IFERROR(IF(B127="",0,IF(VALUE(LEFT(B127,1))&gt;3,VLOOKUP(VALUE(B127),PROYECCIONES!B:D,3,FALSE),0)),1 + COUNTIF($A$2:A126,"&gt;0"))</f>
        <v>0</v>
      </c>
      <c r="B127" s="52" t="s">
        <v>322</v>
      </c>
      <c r="C127" s="52" t="s">
        <v>125</v>
      </c>
      <c r="D127" s="53">
        <v>0</v>
      </c>
      <c r="E127" s="53">
        <v>509412.13</v>
      </c>
      <c r="F127" s="53">
        <v>0</v>
      </c>
      <c r="G127" s="53">
        <v>509412.13000000099</v>
      </c>
    </row>
    <row r="128" spans="1:7">
      <c r="A128">
        <f>IFERROR(IF(B128="",0,IF(VALUE(LEFT(B128,1))&gt;3,VLOOKUP(VALUE(B128),PROYECCIONES!B:D,3,FALSE),0)),1 + COUNTIF($A$2:A127,"&gt;0"))</f>
        <v>0</v>
      </c>
      <c r="B128" s="52" t="s">
        <v>323</v>
      </c>
      <c r="C128" s="52" t="s">
        <v>126</v>
      </c>
      <c r="D128" s="53">
        <v>0</v>
      </c>
      <c r="E128" s="53">
        <v>500000</v>
      </c>
      <c r="F128" s="53">
        <v>0</v>
      </c>
      <c r="G128" s="53">
        <v>500000</v>
      </c>
    </row>
    <row r="129" spans="1:7">
      <c r="A129">
        <f>IFERROR(IF(B129="",0,IF(VALUE(LEFT(B129,1))&gt;3,VLOOKUP(VALUE(B129),PROYECCIONES!B:D,3,FALSE),0)),1 + COUNTIF($A$2:A128,"&gt;0"))</f>
        <v>0</v>
      </c>
      <c r="B129" s="52" t="s">
        <v>324</v>
      </c>
      <c r="C129" s="52" t="s">
        <v>127</v>
      </c>
      <c r="D129" s="53">
        <v>0</v>
      </c>
      <c r="E129" s="53">
        <v>265176</v>
      </c>
      <c r="F129" s="53">
        <v>0</v>
      </c>
      <c r="G129" s="53">
        <v>265176</v>
      </c>
    </row>
    <row r="130" spans="1:7">
      <c r="A130">
        <f>IFERROR(IF(B130="",0,IF(VALUE(LEFT(B130,1))&gt;3,VLOOKUP(VALUE(B130),PROYECCIONES!B:D,3,FALSE),0)),1 + COUNTIF($A$2:A129,"&gt;0"))</f>
        <v>0</v>
      </c>
      <c r="B130" s="52" t="s">
        <v>325</v>
      </c>
      <c r="C130" s="52" t="s">
        <v>128</v>
      </c>
      <c r="D130" s="53">
        <v>0</v>
      </c>
      <c r="E130" s="53">
        <v>5256000</v>
      </c>
      <c r="F130" s="53">
        <v>0</v>
      </c>
      <c r="G130" s="53">
        <v>5256000</v>
      </c>
    </row>
    <row r="131" spans="1:7">
      <c r="A131">
        <f>IFERROR(IF(B131="",0,IF(VALUE(LEFT(B131,1))&gt;3,VLOOKUP(VALUE(B131),PROYECCIONES!B:D,3,FALSE),0)),1 + COUNTIF($A$2:A130,"&gt;0"))</f>
        <v>0</v>
      </c>
      <c r="B131" s="52" t="s">
        <v>326</v>
      </c>
      <c r="C131" s="52" t="s">
        <v>129</v>
      </c>
      <c r="D131" s="53">
        <v>0</v>
      </c>
      <c r="E131" s="53">
        <v>2032000</v>
      </c>
      <c r="F131" s="53">
        <v>0</v>
      </c>
      <c r="G131" s="53">
        <v>2032000</v>
      </c>
    </row>
    <row r="132" spans="1:7">
      <c r="A132">
        <f>IFERROR(IF(B132="",0,IF(VALUE(LEFT(B132,1))&gt;3,VLOOKUP(VALUE(B132),PROYECCIONES!B:D,3,FALSE),0)),1 + COUNTIF($A$2:A131,"&gt;0"))</f>
        <v>0</v>
      </c>
      <c r="B132" s="52" t="s">
        <v>388</v>
      </c>
      <c r="C132" s="52" t="s">
        <v>130</v>
      </c>
      <c r="D132" s="53">
        <v>0</v>
      </c>
      <c r="E132" s="53">
        <v>1472381.81</v>
      </c>
      <c r="F132" s="53">
        <v>0</v>
      </c>
      <c r="G132" s="53">
        <v>1472381.81</v>
      </c>
    </row>
    <row r="133" spans="1:7">
      <c r="A133">
        <f>IFERROR(IF(B133="",0,IF(VALUE(LEFT(B133,1))&gt;3,VLOOKUP(VALUE(B133),PROYECCIONES!B:D,3,FALSE),0)),1 + COUNTIF($A$2:A132,"&gt;0"))</f>
        <v>0</v>
      </c>
      <c r="B133" s="52" t="s">
        <v>389</v>
      </c>
      <c r="C133" s="52" t="s">
        <v>131</v>
      </c>
      <c r="D133" s="53">
        <v>0</v>
      </c>
      <c r="E133" s="53">
        <v>19880000</v>
      </c>
      <c r="F133" s="53">
        <v>5400000</v>
      </c>
      <c r="G133" s="53">
        <v>14480000</v>
      </c>
    </row>
    <row r="134" spans="1:7">
      <c r="A134">
        <f>IFERROR(IF(B134="",0,IF(VALUE(LEFT(B134,1))&gt;3,VLOOKUP(VALUE(B134),PROYECCIONES!B:D,3,FALSE),0)),1 + COUNTIF($A$2:A133,"&gt;0"))</f>
        <v>0</v>
      </c>
      <c r="B134" s="52" t="s">
        <v>366</v>
      </c>
      <c r="C134" s="52" t="s">
        <v>132</v>
      </c>
      <c r="D134" s="53">
        <v>0</v>
      </c>
      <c r="E134" s="53">
        <v>1400000</v>
      </c>
      <c r="F134" s="53">
        <v>0</v>
      </c>
      <c r="G134" s="53">
        <v>1400000</v>
      </c>
    </row>
    <row r="135" spans="1:7">
      <c r="A135">
        <f>IFERROR(IF(B135="",0,IF(VALUE(LEFT(B135,1))&gt;3,VLOOKUP(VALUE(B135),PROYECCIONES!B:D,3,FALSE),0)),1 + COUNTIF($A$2:A134,"&gt;0"))</f>
        <v>0</v>
      </c>
      <c r="B135" s="52" t="s">
        <v>327</v>
      </c>
      <c r="C135" s="52" t="s">
        <v>133</v>
      </c>
      <c r="D135" s="53">
        <v>0</v>
      </c>
      <c r="E135" s="53">
        <v>3000000</v>
      </c>
      <c r="F135" s="53">
        <v>0</v>
      </c>
      <c r="G135" s="53">
        <v>3000000</v>
      </c>
    </row>
    <row r="136" spans="1:7">
      <c r="A136">
        <f>IFERROR(IF(B136="",0,IF(VALUE(LEFT(B136,1))&gt;3,VLOOKUP(VALUE(B136),PROYECCIONES!B:D,3,FALSE),0)),1 + COUNTIF($A$2:A135,"&gt;0"))</f>
        <v>0</v>
      </c>
      <c r="B136" s="52" t="s">
        <v>581</v>
      </c>
      <c r="C136" s="52" t="s">
        <v>582</v>
      </c>
      <c r="D136" s="53">
        <v>0</v>
      </c>
      <c r="E136" s="53">
        <v>1322150</v>
      </c>
      <c r="F136" s="53">
        <v>0</v>
      </c>
      <c r="G136" s="53">
        <v>1322150</v>
      </c>
    </row>
    <row r="137" spans="1:7">
      <c r="A137">
        <f>IFERROR(IF(B137="",0,IF(VALUE(LEFT(B137,1))&gt;3,VLOOKUP(VALUE(B137),PROYECCIONES!B:D,3,FALSE),0)),1 + COUNTIF($A$2:A136,"&gt;0"))</f>
        <v>0</v>
      </c>
      <c r="B137" s="52" t="s">
        <v>328</v>
      </c>
      <c r="C137" s="52" t="s">
        <v>110</v>
      </c>
      <c r="D137" s="53">
        <v>0</v>
      </c>
      <c r="E137" s="53">
        <v>2356818.21</v>
      </c>
      <c r="F137" s="53">
        <v>0</v>
      </c>
      <c r="G137" s="53">
        <v>2356818.21</v>
      </c>
    </row>
    <row r="138" spans="1:7">
      <c r="A138">
        <f>IFERROR(IF(B138="",0,IF(VALUE(LEFT(B138,1))&gt;3,VLOOKUP(VALUE(B138),PROYECCIONES!B:D,3,FALSE),0)),1 + COUNTIF($A$2:A137,"&gt;0"))</f>
        <v>0</v>
      </c>
      <c r="B138" s="52" t="s">
        <v>412</v>
      </c>
      <c r="C138" s="52" t="s">
        <v>198</v>
      </c>
      <c r="D138" s="53">
        <v>0</v>
      </c>
      <c r="E138" s="53">
        <v>66341.77</v>
      </c>
      <c r="F138" s="53">
        <v>0</v>
      </c>
      <c r="G138" s="53">
        <v>66341.77</v>
      </c>
    </row>
    <row r="139" spans="1:7">
      <c r="A139">
        <f>IFERROR(IF(B139="",0,IF(VALUE(LEFT(B139,1))&gt;3,VLOOKUP(VALUE(B139),PROYECCIONES!B:D,3,FALSE),0)),1 + COUNTIF($A$2:A138,"&gt;0"))</f>
        <v>0</v>
      </c>
      <c r="B139" s="52" t="s">
        <v>583</v>
      </c>
      <c r="C139" s="52" t="s">
        <v>134</v>
      </c>
      <c r="D139" s="53">
        <v>0</v>
      </c>
      <c r="E139" s="53">
        <v>13481.52</v>
      </c>
      <c r="F139" s="53">
        <v>0</v>
      </c>
      <c r="G139" s="53">
        <v>13481.52</v>
      </c>
    </row>
    <row r="140" spans="1:7">
      <c r="A140">
        <f>IFERROR(IF(B140="",0,IF(VALUE(LEFT(B140,1))&gt;3,VLOOKUP(VALUE(B140),PROYECCIONES!B:D,3,FALSE),0)),1 + COUNTIF($A$2:A139,"&gt;0"))</f>
        <v>0</v>
      </c>
      <c r="B140" s="52" t="s">
        <v>329</v>
      </c>
      <c r="C140" s="52" t="s">
        <v>135</v>
      </c>
      <c r="D140" s="53">
        <v>-4.65661287307739E-10</v>
      </c>
      <c r="E140" s="53">
        <v>271210.8</v>
      </c>
      <c r="F140" s="53">
        <v>0</v>
      </c>
      <c r="G140" s="53">
        <v>271210.8</v>
      </c>
    </row>
    <row r="141" spans="1:7">
      <c r="A141">
        <f>IFERROR(IF(B141="",0,IF(VALUE(LEFT(B141,1))&gt;3,VLOOKUP(VALUE(B141),PROYECCIONES!B:D,3,FALSE),0)),1 + COUNTIF($A$2:A140,"&gt;0"))</f>
        <v>0</v>
      </c>
      <c r="B141" s="52" t="s">
        <v>330</v>
      </c>
      <c r="C141" s="52" t="s">
        <v>136</v>
      </c>
      <c r="D141" s="53">
        <v>0</v>
      </c>
      <c r="E141" s="53">
        <v>12375529</v>
      </c>
      <c r="F141" s="53">
        <v>0</v>
      </c>
      <c r="G141" s="53">
        <v>12375529</v>
      </c>
    </row>
    <row r="142" spans="1:7">
      <c r="A142">
        <f>IFERROR(IF(B142="",0,IF(VALUE(LEFT(B142,1))&gt;3,VLOOKUP(VALUE(B142),PROYECCIONES!B:D,3,FALSE),0)),1 + COUNTIF($A$2:A141,"&gt;0"))</f>
        <v>0</v>
      </c>
      <c r="B142" s="52" t="s">
        <v>544</v>
      </c>
      <c r="C142" s="52" t="s">
        <v>420</v>
      </c>
      <c r="D142" s="53">
        <v>0</v>
      </c>
      <c r="E142" s="53">
        <v>5769252.46</v>
      </c>
      <c r="F142" s="53">
        <v>0</v>
      </c>
      <c r="G142" s="53">
        <v>5769252.46</v>
      </c>
    </row>
    <row r="143" spans="1:7">
      <c r="A143">
        <f>IFERROR(IF(B143="",0,IF(VALUE(LEFT(B143,1))&gt;3,VLOOKUP(VALUE(B143),PROYECCIONES!B:D,3,FALSE),0)),1 + COUNTIF($A$2:A142,"&gt;0"))</f>
        <v>0</v>
      </c>
      <c r="B143" s="52" t="s">
        <v>561</v>
      </c>
      <c r="C143" s="52" t="s">
        <v>562</v>
      </c>
      <c r="D143" s="53">
        <v>0</v>
      </c>
      <c r="E143" s="53">
        <v>84033</v>
      </c>
      <c r="F143" s="53">
        <v>0</v>
      </c>
      <c r="G143" s="53">
        <v>84033</v>
      </c>
    </row>
    <row r="144" spans="1:7">
      <c r="A144">
        <f>IFERROR(IF(B144="",0,IF(VALUE(LEFT(B144,1))&gt;3,VLOOKUP(VALUE(B144),PROYECCIONES!B:D,3,FALSE),0)),1 + COUNTIF($A$2:A143,"&gt;0"))</f>
        <v>0</v>
      </c>
      <c r="B144" s="52" t="s">
        <v>331</v>
      </c>
      <c r="C144" s="52" t="s">
        <v>137</v>
      </c>
      <c r="D144" s="53">
        <v>0</v>
      </c>
      <c r="E144" s="53">
        <v>4371858</v>
      </c>
      <c r="F144" s="53">
        <v>0</v>
      </c>
      <c r="G144" s="53">
        <v>4371858</v>
      </c>
    </row>
    <row r="145" spans="1:7">
      <c r="A145">
        <f>IFERROR(IF(B145="",0,IF(VALUE(LEFT(B145,1))&gt;3,VLOOKUP(VALUE(B145),PROYECCIONES!B:D,3,FALSE),0)),1 + COUNTIF($A$2:A144,"&gt;0"))</f>
        <v>0</v>
      </c>
      <c r="B145" s="52" t="s">
        <v>332</v>
      </c>
      <c r="C145" s="52" t="s">
        <v>139</v>
      </c>
      <c r="D145" s="53">
        <v>0</v>
      </c>
      <c r="E145" s="53">
        <v>1934264.29</v>
      </c>
      <c r="F145" s="53">
        <v>0</v>
      </c>
      <c r="G145" s="53">
        <v>1934264.29</v>
      </c>
    </row>
    <row r="146" spans="1:7">
      <c r="A146">
        <f>IFERROR(IF(B146="",0,IF(VALUE(LEFT(B146,1))&gt;3,VLOOKUP(VALUE(B146),PROYECCIONES!B:D,3,FALSE),0)),1 + COUNTIF($A$2:A145,"&gt;0"))</f>
        <v>0</v>
      </c>
      <c r="B146" s="52" t="s">
        <v>333</v>
      </c>
      <c r="C146" s="52" t="s">
        <v>140</v>
      </c>
      <c r="D146" s="53">
        <v>-2.3283064365386999E-10</v>
      </c>
      <c r="E146" s="53">
        <v>24940.87</v>
      </c>
      <c r="F146" s="53">
        <v>0</v>
      </c>
      <c r="G146" s="53">
        <v>24940.869999999799</v>
      </c>
    </row>
    <row r="147" spans="1:7">
      <c r="A147">
        <f>IFERROR(IF(B147="",0,IF(VALUE(LEFT(B147,1))&gt;3,VLOOKUP(VALUE(B147),PROYECCIONES!B:D,3,FALSE),0)),1 + COUNTIF($A$2:A146,"&gt;0"))</f>
        <v>0</v>
      </c>
      <c r="B147" s="52" t="s">
        <v>563</v>
      </c>
      <c r="C147" s="52" t="s">
        <v>564</v>
      </c>
      <c r="D147" s="53">
        <v>0</v>
      </c>
      <c r="E147" s="53">
        <v>47038</v>
      </c>
      <c r="F147" s="53">
        <v>0</v>
      </c>
      <c r="G147" s="53">
        <v>47038</v>
      </c>
    </row>
    <row r="148" spans="1:7">
      <c r="A148">
        <f>IFERROR(IF(B148="",0,IF(VALUE(LEFT(B148,1))&gt;3,VLOOKUP(VALUE(B148),PROYECCIONES!B:D,3,FALSE),0)),1 + COUNTIF($A$2:A147,"&gt;0"))</f>
        <v>0</v>
      </c>
      <c r="B148" s="52" t="s">
        <v>334</v>
      </c>
      <c r="C148" s="52" t="s">
        <v>141</v>
      </c>
      <c r="D148" s="53">
        <v>0</v>
      </c>
      <c r="E148" s="53">
        <v>5350000</v>
      </c>
      <c r="F148" s="53">
        <v>0</v>
      </c>
      <c r="G148" s="53">
        <v>5350000</v>
      </c>
    </row>
    <row r="149" spans="1:7">
      <c r="A149">
        <f>IFERROR(IF(B149="",0,IF(VALUE(LEFT(B149,1))&gt;3,VLOOKUP(VALUE(B149),PROYECCIONES!B:D,3,FALSE),0)),1 + COUNTIF($A$2:A148,"&gt;0"))</f>
        <v>0</v>
      </c>
      <c r="B149" s="52" t="s">
        <v>565</v>
      </c>
      <c r="C149" s="52" t="s">
        <v>142</v>
      </c>
      <c r="D149" s="53">
        <v>0</v>
      </c>
      <c r="E149" s="53">
        <v>2062500</v>
      </c>
      <c r="F149" s="53">
        <v>0</v>
      </c>
      <c r="G149" s="53">
        <v>2062500</v>
      </c>
    </row>
    <row r="150" spans="1:7">
      <c r="A150">
        <f>IFERROR(IF(B150="",0,IF(VALUE(LEFT(B150,1))&gt;3,VLOOKUP(VALUE(B150),PROYECCIONES!B:D,3,FALSE),0)),1 + COUNTIF($A$2:A149,"&gt;0"))</f>
        <v>0</v>
      </c>
      <c r="B150" s="52" t="s">
        <v>335</v>
      </c>
      <c r="C150" s="52" t="s">
        <v>143</v>
      </c>
      <c r="D150" s="53">
        <v>0</v>
      </c>
      <c r="E150" s="53">
        <v>373499.99</v>
      </c>
      <c r="F150" s="53">
        <v>0</v>
      </c>
      <c r="G150" s="53">
        <v>373499.99</v>
      </c>
    </row>
    <row r="151" spans="1:7">
      <c r="A151">
        <f>IFERROR(IF(B151="",0,IF(VALUE(LEFT(B151,1))&gt;3,VLOOKUP(VALUE(B151),PROYECCIONES!B:D,3,FALSE),0)),1 + COUNTIF($A$2:A150,"&gt;0"))</f>
        <v>0</v>
      </c>
      <c r="B151" s="52" t="s">
        <v>336</v>
      </c>
      <c r="C151" s="52" t="s">
        <v>144</v>
      </c>
      <c r="D151" s="53">
        <v>0</v>
      </c>
      <c r="E151" s="53">
        <v>1682801.94</v>
      </c>
      <c r="F151" s="53">
        <v>0</v>
      </c>
      <c r="G151" s="53">
        <v>1682801.94</v>
      </c>
    </row>
    <row r="152" spans="1:7">
      <c r="A152">
        <f>IFERROR(IF(B152="",0,IF(VALUE(LEFT(B152,1))&gt;3,VLOOKUP(VALUE(B152),PROYECCIONES!B:D,3,FALSE),0)),1 + COUNTIF($A$2:A151,"&gt;0"))</f>
        <v>0</v>
      </c>
      <c r="B152" s="52" t="s">
        <v>367</v>
      </c>
      <c r="C152" s="52" t="s">
        <v>145</v>
      </c>
      <c r="D152" s="53">
        <v>0</v>
      </c>
      <c r="E152" s="53">
        <v>122291</v>
      </c>
      <c r="F152" s="53">
        <v>0</v>
      </c>
      <c r="G152" s="53">
        <v>122291</v>
      </c>
    </row>
    <row r="153" spans="1:7">
      <c r="A153">
        <f>IFERROR(IF(B153="",0,IF(VALUE(LEFT(B153,1))&gt;3,VLOOKUP(VALUE(B153),PROYECCIONES!B:D,3,FALSE),0)),1 + COUNTIF($A$2:A152,"&gt;0"))</f>
        <v>0</v>
      </c>
      <c r="B153" s="52" t="s">
        <v>337</v>
      </c>
      <c r="C153" s="52" t="s">
        <v>146</v>
      </c>
      <c r="D153" s="53">
        <v>0</v>
      </c>
      <c r="E153" s="53">
        <v>1928605.79</v>
      </c>
      <c r="F153" s="53">
        <v>0</v>
      </c>
      <c r="G153" s="53">
        <v>1928605.79</v>
      </c>
    </row>
    <row r="154" spans="1:7">
      <c r="A154">
        <f>IFERROR(IF(B154="",0,IF(VALUE(LEFT(B154,1))&gt;3,VLOOKUP(VALUE(B154),PROYECCIONES!B:D,3,FALSE),0)),1 + COUNTIF($A$2:A153,"&gt;0"))</f>
        <v>0</v>
      </c>
      <c r="B154" s="52" t="s">
        <v>338</v>
      </c>
      <c r="C154" s="52" t="s">
        <v>147</v>
      </c>
      <c r="D154" s="53">
        <v>0</v>
      </c>
      <c r="E154" s="53">
        <v>169492</v>
      </c>
      <c r="F154" s="53">
        <v>0</v>
      </c>
      <c r="G154" s="53">
        <v>169492</v>
      </c>
    </row>
    <row r="155" spans="1:7">
      <c r="A155">
        <f>IFERROR(IF(B155="",0,IF(VALUE(LEFT(B155,1))&gt;3,VLOOKUP(VALUE(B155),PROYECCIONES!B:D,3,FALSE),0)),1 + COUNTIF($A$2:A154,"&gt;0"))</f>
        <v>0</v>
      </c>
      <c r="B155" s="52" t="s">
        <v>339</v>
      </c>
      <c r="C155" s="52" t="s">
        <v>148</v>
      </c>
      <c r="D155" s="53">
        <v>0</v>
      </c>
      <c r="E155" s="53">
        <v>817961.83</v>
      </c>
      <c r="F155" s="53">
        <v>0</v>
      </c>
      <c r="G155" s="53">
        <v>817961.83</v>
      </c>
    </row>
    <row r="156" spans="1:7">
      <c r="A156">
        <f>IFERROR(IF(B156="",0,IF(VALUE(LEFT(B156,1))&gt;3,VLOOKUP(VALUE(B156),PROYECCIONES!B:D,3,FALSE),0)),1 + COUNTIF($A$2:A155,"&gt;0"))</f>
        <v>0</v>
      </c>
      <c r="B156" s="52" t="s">
        <v>340</v>
      </c>
      <c r="C156" s="52" t="s">
        <v>149</v>
      </c>
      <c r="D156" s="53">
        <v>0</v>
      </c>
      <c r="E156" s="53">
        <v>500000</v>
      </c>
      <c r="F156" s="53">
        <v>0</v>
      </c>
      <c r="G156" s="53">
        <v>500000</v>
      </c>
    </row>
    <row r="157" spans="1:7">
      <c r="A157">
        <f>IFERROR(IF(B157="",0,IF(VALUE(LEFT(B157,1))&gt;3,VLOOKUP(VALUE(B157),PROYECCIONES!B:D,3,FALSE),0)),1 + COUNTIF($A$2:A156,"&gt;0"))</f>
        <v>0</v>
      </c>
      <c r="B157" s="52" t="s">
        <v>390</v>
      </c>
      <c r="C157" s="52" t="s">
        <v>201</v>
      </c>
      <c r="D157" s="53">
        <v>0</v>
      </c>
      <c r="E157" s="53">
        <v>3603152.05</v>
      </c>
      <c r="F157" s="53">
        <v>0</v>
      </c>
      <c r="G157" s="53">
        <v>3603152.05</v>
      </c>
    </row>
    <row r="158" spans="1:7">
      <c r="A158">
        <f>IFERROR(IF(B158="",0,IF(VALUE(LEFT(B158,1))&gt;3,VLOOKUP(VALUE(B158),PROYECCIONES!B:D,3,FALSE),0)),1 + COUNTIF($A$2:A157,"&gt;0"))</f>
        <v>0</v>
      </c>
      <c r="B158" s="52" t="s">
        <v>391</v>
      </c>
      <c r="C158" s="52" t="s">
        <v>104</v>
      </c>
      <c r="D158" s="53">
        <v>0</v>
      </c>
      <c r="E158" s="53">
        <v>1743000</v>
      </c>
      <c r="F158" s="53">
        <v>0</v>
      </c>
      <c r="G158" s="53">
        <v>1743000</v>
      </c>
    </row>
    <row r="159" spans="1:7">
      <c r="A159">
        <f>IFERROR(IF(B159="",0,IF(VALUE(LEFT(B159,1))&gt;3,VLOOKUP(VALUE(B159),PROYECCIONES!B:D,3,FALSE),0)),1 + COUNTIF($A$2:A158,"&gt;0"))</f>
        <v>0</v>
      </c>
      <c r="B159" s="52" t="s">
        <v>545</v>
      </c>
      <c r="C159" s="52" t="s">
        <v>105</v>
      </c>
      <c r="D159" s="53">
        <v>0</v>
      </c>
      <c r="E159" s="53">
        <v>127740</v>
      </c>
      <c r="F159" s="53">
        <v>0</v>
      </c>
      <c r="G159" s="53">
        <v>127740</v>
      </c>
    </row>
    <row r="160" spans="1:7">
      <c r="A160">
        <f>IFERROR(IF(B160="",0,IF(VALUE(LEFT(B160,1))&gt;3,VLOOKUP(VALUE(B160),PROYECCIONES!B:D,3,FALSE),0)),1 + COUNTIF($A$2:A159,"&gt;0"))</f>
        <v>0</v>
      </c>
      <c r="B160" s="52" t="s">
        <v>584</v>
      </c>
      <c r="C160" s="52" t="s">
        <v>153</v>
      </c>
      <c r="D160" s="53">
        <v>0</v>
      </c>
      <c r="E160" s="53">
        <v>691000</v>
      </c>
      <c r="F160" s="53">
        <v>0</v>
      </c>
      <c r="G160" s="53">
        <v>691000</v>
      </c>
    </row>
    <row r="161" spans="1:7">
      <c r="A161">
        <f>IFERROR(IF(B161="",0,IF(VALUE(LEFT(B161,1))&gt;3,VLOOKUP(VALUE(B161),PROYECCIONES!B:D,3,FALSE),0)),1 + COUNTIF($A$2:A160,"&gt;0"))</f>
        <v>0</v>
      </c>
      <c r="B161" s="52" t="s">
        <v>414</v>
      </c>
      <c r="C161" s="52" t="s">
        <v>202</v>
      </c>
      <c r="D161" s="53">
        <v>0</v>
      </c>
      <c r="E161" s="53">
        <v>378151</v>
      </c>
      <c r="F161" s="53">
        <v>0</v>
      </c>
      <c r="G161" s="53">
        <v>378151</v>
      </c>
    </row>
    <row r="162" spans="1:7">
      <c r="A162">
        <f>IFERROR(IF(B162="",0,IF(VALUE(LEFT(B162,1))&gt;3,VLOOKUP(VALUE(B162),PROYECCIONES!B:D,3,FALSE),0)),1 + COUNTIF($A$2:A161,"&gt;0"))</f>
        <v>0</v>
      </c>
      <c r="B162" s="52" t="s">
        <v>341</v>
      </c>
      <c r="C162" s="52" t="s">
        <v>154</v>
      </c>
      <c r="D162" s="53">
        <v>0</v>
      </c>
      <c r="E162" s="53">
        <v>4005706.17</v>
      </c>
      <c r="F162" s="53">
        <v>0</v>
      </c>
      <c r="G162" s="53">
        <v>4005706.17</v>
      </c>
    </row>
    <row r="163" spans="1:7">
      <c r="A163">
        <f>IFERROR(IF(B163="",0,IF(VALUE(LEFT(B163,1))&gt;3,VLOOKUP(VALUE(B163),PROYECCIONES!B:D,3,FALSE),0)),1 + COUNTIF($A$2:A162,"&gt;0"))</f>
        <v>0</v>
      </c>
      <c r="B163" s="52" t="s">
        <v>566</v>
      </c>
      <c r="C163" s="52" t="s">
        <v>199</v>
      </c>
      <c r="D163" s="53">
        <v>0</v>
      </c>
      <c r="E163" s="53">
        <v>605798.31999999995</v>
      </c>
      <c r="F163" s="53">
        <v>0</v>
      </c>
      <c r="G163" s="53">
        <v>605798.31999999995</v>
      </c>
    </row>
    <row r="164" spans="1:7">
      <c r="A164">
        <f>IFERROR(IF(B164="",0,IF(VALUE(LEFT(B164,1))&gt;3,VLOOKUP(VALUE(B164),PROYECCIONES!B:D,3,FALSE),0)),1 + COUNTIF($A$2:A163,"&gt;0"))</f>
        <v>0</v>
      </c>
      <c r="B164" s="52" t="s">
        <v>567</v>
      </c>
      <c r="C164" s="52" t="s">
        <v>568</v>
      </c>
      <c r="D164" s="53">
        <v>0</v>
      </c>
      <c r="E164" s="53">
        <v>2249411</v>
      </c>
      <c r="F164" s="53">
        <v>0</v>
      </c>
      <c r="G164" s="53">
        <v>2249411</v>
      </c>
    </row>
    <row r="165" spans="1:7">
      <c r="A165">
        <f>IFERROR(IF(B165="",0,IF(VALUE(LEFT(B165,1))&gt;3,VLOOKUP(VALUE(B165),PROYECCIONES!B:D,3,FALSE),0)),1 + COUNTIF($A$2:A164,"&gt;0"))</f>
        <v>0</v>
      </c>
      <c r="B165" s="52" t="s">
        <v>392</v>
      </c>
      <c r="C165" s="52" t="s">
        <v>155</v>
      </c>
      <c r="D165" s="53">
        <v>0</v>
      </c>
      <c r="E165" s="53">
        <v>4171856.63</v>
      </c>
      <c r="F165" s="53">
        <v>0</v>
      </c>
      <c r="G165" s="53">
        <v>4171856.63</v>
      </c>
    </row>
    <row r="166" spans="1:7">
      <c r="A166">
        <f>IFERROR(IF(B166="",0,IF(VALUE(LEFT(B166,1))&gt;3,VLOOKUP(VALUE(B166),PROYECCIONES!B:D,3,FALSE),0)),1 + COUNTIF($A$2:A165,"&gt;0"))</f>
        <v>0</v>
      </c>
      <c r="B166" s="52" t="s">
        <v>342</v>
      </c>
      <c r="C166" s="52" t="s">
        <v>156</v>
      </c>
      <c r="D166" s="53">
        <v>0</v>
      </c>
      <c r="E166" s="53">
        <v>8421071.2599999998</v>
      </c>
      <c r="F166" s="53">
        <v>0</v>
      </c>
      <c r="G166" s="53">
        <v>8421071.2599999998</v>
      </c>
    </row>
    <row r="167" spans="1:7">
      <c r="A167">
        <f>IFERROR(IF(B167="",0,IF(VALUE(LEFT(B167,1))&gt;3,VLOOKUP(VALUE(B167),PROYECCIONES!B:D,3,FALSE),0)),1 + COUNTIF($A$2:A166,"&gt;0"))</f>
        <v>0</v>
      </c>
      <c r="B167" s="52" t="s">
        <v>343</v>
      </c>
      <c r="C167" s="52" t="s">
        <v>157</v>
      </c>
      <c r="D167" s="53">
        <v>0</v>
      </c>
      <c r="E167" s="53">
        <v>5194878</v>
      </c>
      <c r="F167" s="53">
        <v>0</v>
      </c>
      <c r="G167" s="53">
        <v>5194878</v>
      </c>
    </row>
    <row r="168" spans="1:7">
      <c r="A168">
        <f>IFERROR(IF(B168="",0,IF(VALUE(LEFT(B168,1))&gt;3,VLOOKUP(VALUE(B168),PROYECCIONES!B:D,3,FALSE),0)),1 + COUNTIF($A$2:A167,"&gt;0"))</f>
        <v>0</v>
      </c>
      <c r="B168" s="52" t="s">
        <v>569</v>
      </c>
      <c r="C168" s="52" t="s">
        <v>158</v>
      </c>
      <c r="D168" s="53">
        <v>0</v>
      </c>
      <c r="E168" s="53">
        <v>375414</v>
      </c>
      <c r="F168" s="53">
        <v>0</v>
      </c>
      <c r="G168" s="53">
        <v>375414</v>
      </c>
    </row>
    <row r="169" spans="1:7">
      <c r="A169">
        <f>IFERROR(IF(B169="",0,IF(VALUE(LEFT(B169,1))&gt;3,VLOOKUP(VALUE(B169),PROYECCIONES!B:D,3,FALSE),0)),1 + COUNTIF($A$2:A168,"&gt;0"))</f>
        <v>0</v>
      </c>
      <c r="B169" s="52" t="s">
        <v>546</v>
      </c>
      <c r="C169" s="52" t="s">
        <v>409</v>
      </c>
      <c r="D169" s="53">
        <v>0</v>
      </c>
      <c r="E169" s="53">
        <v>1411947.63</v>
      </c>
      <c r="F169" s="53">
        <v>0</v>
      </c>
      <c r="G169" s="53">
        <v>1411947.63</v>
      </c>
    </row>
    <row r="170" spans="1:7">
      <c r="A170">
        <f>IFERROR(IF(B170="",0,IF(VALUE(LEFT(B170,1))&gt;3,VLOOKUP(VALUE(B170),PROYECCIONES!B:D,3,FALSE),0)),1 + COUNTIF($A$2:A169,"&gt;0"))</f>
        <v>0</v>
      </c>
      <c r="B170" s="52" t="s">
        <v>608</v>
      </c>
      <c r="C170" s="52" t="s">
        <v>609</v>
      </c>
      <c r="D170" s="53">
        <v>0</v>
      </c>
      <c r="E170" s="53">
        <v>19400</v>
      </c>
      <c r="F170" s="53">
        <v>0</v>
      </c>
      <c r="G170" s="53">
        <v>19400</v>
      </c>
    </row>
    <row r="171" spans="1:7">
      <c r="A171">
        <f>IFERROR(IF(B171="",0,IF(VALUE(LEFT(B171,1))&gt;3,VLOOKUP(VALUE(B171),PROYECCIONES!B:D,3,FALSE),0)),1 + COUNTIF($A$2:A170,"&gt;0"))</f>
        <v>0</v>
      </c>
      <c r="B171" s="52" t="s">
        <v>91</v>
      </c>
      <c r="C171" s="52" t="s">
        <v>159</v>
      </c>
      <c r="D171" s="53">
        <v>0</v>
      </c>
      <c r="E171" s="53">
        <v>532800</v>
      </c>
      <c r="F171" s="53">
        <v>0</v>
      </c>
      <c r="G171" s="53">
        <v>532800</v>
      </c>
    </row>
    <row r="172" spans="1:7">
      <c r="A172">
        <f>IFERROR(IF(B172="",0,IF(VALUE(LEFT(B172,1))&gt;3,VLOOKUP(VALUE(B172),PROYECCIONES!B:D,3,FALSE),0)),1 + COUNTIF($A$2:A171,"&gt;0"))</f>
        <v>0</v>
      </c>
      <c r="B172" s="52" t="s">
        <v>344</v>
      </c>
      <c r="C172" s="52" t="s">
        <v>160</v>
      </c>
      <c r="D172" s="53">
        <v>-1.8626451492309599E-9</v>
      </c>
      <c r="E172" s="53">
        <v>1481467.96</v>
      </c>
      <c r="F172" s="53">
        <v>21739.78</v>
      </c>
      <c r="G172" s="53">
        <v>1459728.18</v>
      </c>
    </row>
    <row r="173" spans="1:7">
      <c r="A173">
        <f>IFERROR(IF(B173="",0,IF(VALUE(LEFT(B173,1))&gt;3,VLOOKUP(VALUE(B173),PROYECCIONES!B:D,3,FALSE),0)),1 + COUNTIF($A$2:A172,"&gt;0"))</f>
        <v>0</v>
      </c>
      <c r="B173" s="52" t="s">
        <v>570</v>
      </c>
      <c r="C173" s="52" t="s">
        <v>161</v>
      </c>
      <c r="D173" s="53">
        <v>-2.3283064365386999E-10</v>
      </c>
      <c r="E173" s="53">
        <v>546666.67000000004</v>
      </c>
      <c r="F173" s="53">
        <v>0</v>
      </c>
      <c r="G173" s="53">
        <v>546666.67000000004</v>
      </c>
    </row>
    <row r="174" spans="1:7">
      <c r="A174">
        <f>IFERROR(IF(B174="",0,IF(VALUE(LEFT(B174,1))&gt;3,VLOOKUP(VALUE(B174),PROYECCIONES!B:D,3,FALSE),0)),1 + COUNTIF($A$2:A173,"&gt;0"))</f>
        <v>0</v>
      </c>
      <c r="B174" s="52" t="s">
        <v>345</v>
      </c>
      <c r="C174" s="52" t="s">
        <v>162</v>
      </c>
      <c r="D174" s="53">
        <v>1.8626451492309599E-9</v>
      </c>
      <c r="E174" s="53">
        <v>4481833.33</v>
      </c>
      <c r="F174" s="53">
        <v>0</v>
      </c>
      <c r="G174" s="53">
        <v>4481833.33</v>
      </c>
    </row>
    <row r="175" spans="1:7">
      <c r="A175">
        <f>IFERROR(IF(B175="",0,IF(VALUE(LEFT(B175,1))&gt;3,VLOOKUP(VALUE(B175),PROYECCIONES!B:D,3,FALSE),0)),1 + COUNTIF($A$2:A174,"&gt;0"))</f>
        <v>0</v>
      </c>
      <c r="B175" s="52" t="s">
        <v>368</v>
      </c>
      <c r="C175" s="52" t="s">
        <v>163</v>
      </c>
      <c r="D175" s="53">
        <v>0</v>
      </c>
      <c r="E175" s="53">
        <v>724900</v>
      </c>
      <c r="F175" s="53">
        <v>0</v>
      </c>
      <c r="G175" s="53">
        <v>724900</v>
      </c>
    </row>
    <row r="176" spans="1:7">
      <c r="A176">
        <f>IFERROR(IF(B176="",0,IF(VALUE(LEFT(B176,1))&gt;3,VLOOKUP(VALUE(B176),PROYECCIONES!B:D,3,FALSE),0)),1 + COUNTIF($A$2:A175,"&gt;0"))</f>
        <v>0</v>
      </c>
      <c r="B176" s="52" t="s">
        <v>393</v>
      </c>
      <c r="C176" s="52" t="s">
        <v>164</v>
      </c>
      <c r="D176" s="53">
        <v>0</v>
      </c>
      <c r="E176" s="53">
        <v>14400000</v>
      </c>
      <c r="F176" s="53">
        <v>0</v>
      </c>
      <c r="G176" s="53">
        <v>14400000</v>
      </c>
    </row>
    <row r="177" spans="1:7">
      <c r="A177">
        <f>IFERROR(IF(B177="",0,IF(VALUE(LEFT(B177,1))&gt;3,VLOOKUP(VALUE(B177),PROYECCIONES!B:D,3,FALSE),0)),1 + COUNTIF($A$2:A176,"&gt;0"))</f>
        <v>0</v>
      </c>
      <c r="B177" s="52" t="s">
        <v>369</v>
      </c>
      <c r="C177" s="52" t="s">
        <v>165</v>
      </c>
      <c r="D177" s="53">
        <v>-2.3283064365386999E-10</v>
      </c>
      <c r="E177" s="53">
        <v>595730</v>
      </c>
      <c r="F177" s="53">
        <v>0</v>
      </c>
      <c r="G177" s="53">
        <v>595730</v>
      </c>
    </row>
    <row r="178" spans="1:7">
      <c r="A178">
        <f>IFERROR(IF(B178="",0,IF(VALUE(LEFT(B178,1))&gt;3,VLOOKUP(VALUE(B178),PROYECCIONES!B:D,3,FALSE),0)),1 + COUNTIF($A$2:A177,"&gt;0"))</f>
        <v>0</v>
      </c>
      <c r="B178" s="52" t="s">
        <v>346</v>
      </c>
      <c r="C178" s="52" t="s">
        <v>166</v>
      </c>
      <c r="D178" s="53">
        <v>2.3283064365386999E-10</v>
      </c>
      <c r="E178" s="53">
        <v>463227</v>
      </c>
      <c r="F178" s="53">
        <v>0</v>
      </c>
      <c r="G178" s="53">
        <v>463227</v>
      </c>
    </row>
    <row r="179" spans="1:7">
      <c r="A179">
        <f>IFERROR(IF(B179="",0,IF(VALUE(LEFT(B179,1))&gt;3,VLOOKUP(VALUE(B179),PROYECCIONES!B:D,3,FALSE),0)),1 + COUNTIF($A$2:A178,"&gt;0"))</f>
        <v>0</v>
      </c>
      <c r="B179" s="52" t="s">
        <v>347</v>
      </c>
      <c r="C179" s="52" t="s">
        <v>167</v>
      </c>
      <c r="D179" s="53">
        <v>1.8626451492309599E-9</v>
      </c>
      <c r="E179" s="53">
        <v>276893.12</v>
      </c>
      <c r="F179" s="53">
        <v>0</v>
      </c>
      <c r="G179" s="53">
        <v>276893.12000000098</v>
      </c>
    </row>
    <row r="180" spans="1:7">
      <c r="A180">
        <f>IFERROR(IF(B180="",0,IF(VALUE(LEFT(B180,1))&gt;3,VLOOKUP(VALUE(B180),PROYECCIONES!B:D,3,FALSE),0)),1 + COUNTIF($A$2:A179,"&gt;0"))</f>
        <v>0</v>
      </c>
      <c r="B180" s="52" t="s">
        <v>394</v>
      </c>
      <c r="C180" s="52" t="s">
        <v>168</v>
      </c>
      <c r="D180" s="53">
        <v>0</v>
      </c>
      <c r="E180" s="53">
        <v>215000</v>
      </c>
      <c r="F180" s="53">
        <v>0</v>
      </c>
      <c r="G180" s="53">
        <v>215000</v>
      </c>
    </row>
    <row r="181" spans="1:7">
      <c r="A181">
        <f>IFERROR(IF(B181="",0,IF(VALUE(LEFT(B181,1))&gt;3,VLOOKUP(VALUE(B181),PROYECCIONES!B:D,3,FALSE),0)),1 + COUNTIF($A$2:A180,"&gt;0"))</f>
        <v>0</v>
      </c>
      <c r="B181" s="52" t="s">
        <v>591</v>
      </c>
      <c r="C181" s="52" t="s">
        <v>203</v>
      </c>
      <c r="D181" s="53">
        <v>0</v>
      </c>
      <c r="E181" s="53">
        <v>206500</v>
      </c>
      <c r="F181" s="53">
        <v>0</v>
      </c>
      <c r="G181" s="53">
        <v>206500</v>
      </c>
    </row>
    <row r="182" spans="1:7">
      <c r="A182">
        <f>IFERROR(IF(B182="",0,IF(VALUE(LEFT(B182,1))&gt;3,VLOOKUP(VALUE(B182),PROYECCIONES!B:D,3,FALSE),0)),1 + COUNTIF($A$2:A181,"&gt;0"))</f>
        <v>0</v>
      </c>
      <c r="B182" s="52" t="s">
        <v>442</v>
      </c>
      <c r="C182" s="52" t="s">
        <v>443</v>
      </c>
      <c r="D182" s="53">
        <v>0</v>
      </c>
      <c r="E182" s="53">
        <v>5000</v>
      </c>
      <c r="F182" s="53">
        <v>0</v>
      </c>
      <c r="G182" s="53">
        <v>5000</v>
      </c>
    </row>
    <row r="183" spans="1:7">
      <c r="A183">
        <f>IFERROR(IF(B183="",0,IF(VALUE(LEFT(B183,1))&gt;3,VLOOKUP(VALUE(B183),PROYECCIONES!B:D,3,FALSE),0)),1 + COUNTIF($A$2:A182,"&gt;0"))</f>
        <v>0</v>
      </c>
      <c r="B183" s="52" t="s">
        <v>348</v>
      </c>
      <c r="C183" s="52" t="s">
        <v>106</v>
      </c>
      <c r="D183" s="53">
        <v>0</v>
      </c>
      <c r="E183" s="53">
        <v>2689790.91</v>
      </c>
      <c r="F183" s="53">
        <v>0</v>
      </c>
      <c r="G183" s="53">
        <v>2689790.91</v>
      </c>
    </row>
    <row r="184" spans="1:7">
      <c r="A184">
        <f>IFERROR(IF(B184="",0,IF(VALUE(LEFT(B184,1))&gt;3,VLOOKUP(VALUE(B184),PROYECCIONES!B:D,3,FALSE),0)),1 + COUNTIF($A$2:A183,"&gt;0"))</f>
        <v>0</v>
      </c>
      <c r="B184" s="52" t="s">
        <v>370</v>
      </c>
      <c r="C184" s="52" t="s">
        <v>169</v>
      </c>
      <c r="D184" s="53">
        <v>0</v>
      </c>
      <c r="E184" s="53">
        <v>9928.5400000000009</v>
      </c>
      <c r="F184" s="53">
        <v>0</v>
      </c>
      <c r="G184" s="53">
        <v>9928.5400000000009</v>
      </c>
    </row>
    <row r="185" spans="1:7">
      <c r="A185">
        <f>IFERROR(IF(B185="",0,IF(VALUE(LEFT(B185,1))&gt;3,VLOOKUP(VALUE(B185),PROYECCIONES!B:D,3,FALSE),0)),1 + COUNTIF($A$2:A184,"&gt;0"))</f>
        <v>0</v>
      </c>
      <c r="B185" s="52" t="s">
        <v>371</v>
      </c>
      <c r="C185" s="52" t="s">
        <v>197</v>
      </c>
      <c r="D185" s="53">
        <v>0</v>
      </c>
      <c r="E185" s="53">
        <v>70000</v>
      </c>
      <c r="F185" s="53">
        <v>0</v>
      </c>
      <c r="G185" s="53">
        <v>70000</v>
      </c>
    </row>
    <row r="186" spans="1:7">
      <c r="A186">
        <f>IFERROR(IF(B186="",0,IF(VALUE(LEFT(B186,1))&gt;3,VLOOKUP(VALUE(B186),PROYECCIONES!B:D,3,FALSE),0)),1 + COUNTIF($A$2:A185,"&gt;0"))</f>
        <v>0</v>
      </c>
      <c r="B186" s="52" t="s">
        <v>349</v>
      </c>
      <c r="C186" s="52" t="s">
        <v>170</v>
      </c>
      <c r="D186" s="53">
        <v>-2.2351741790771501E-8</v>
      </c>
      <c r="E186" s="53">
        <v>12098595.1</v>
      </c>
      <c r="F186" s="53">
        <v>0</v>
      </c>
      <c r="G186" s="53">
        <v>12098595.1</v>
      </c>
    </row>
    <row r="187" spans="1:7">
      <c r="A187">
        <f>IFERROR(IF(B187="",0,IF(VALUE(LEFT(B187,1))&gt;3,VLOOKUP(VALUE(B187),PROYECCIONES!B:D,3,FALSE),0)),1 + COUNTIF($A$2:A186,"&gt;0"))</f>
        <v>0</v>
      </c>
      <c r="B187" s="52" t="s">
        <v>547</v>
      </c>
      <c r="C187" s="52" t="s">
        <v>190</v>
      </c>
      <c r="D187" s="53">
        <v>-4.65661287307739E-10</v>
      </c>
      <c r="E187" s="53">
        <v>50756.3</v>
      </c>
      <c r="F187" s="53">
        <v>0</v>
      </c>
      <c r="G187" s="53">
        <v>50756.299999999603</v>
      </c>
    </row>
    <row r="188" spans="1:7">
      <c r="A188">
        <f>IFERROR(IF(B188="",0,IF(VALUE(LEFT(B188,1))&gt;3,VLOOKUP(VALUE(B188),PROYECCIONES!B:D,3,FALSE),0)),1 + COUNTIF($A$2:A187,"&gt;0"))</f>
        <v>0</v>
      </c>
      <c r="B188" s="52" t="s">
        <v>533</v>
      </c>
      <c r="C188" s="52" t="s">
        <v>534</v>
      </c>
      <c r="D188" s="53">
        <v>0</v>
      </c>
      <c r="E188" s="53">
        <v>4571605.7699999996</v>
      </c>
      <c r="F188" s="53">
        <v>0</v>
      </c>
      <c r="G188" s="53">
        <v>4571605.7699999996</v>
      </c>
    </row>
    <row r="189" spans="1:7">
      <c r="A189">
        <f>IFERROR(IF(B189="",0,IF(VALUE(LEFT(B189,1))&gt;3,VLOOKUP(VALUE(B189),PROYECCIONES!B:D,3,FALSE),0)),1 + COUNTIF($A$2:A188,"&gt;0"))</f>
        <v>0</v>
      </c>
      <c r="B189" s="52" t="s">
        <v>571</v>
      </c>
      <c r="C189" s="52" t="s">
        <v>124</v>
      </c>
      <c r="D189" s="53">
        <v>0</v>
      </c>
      <c r="E189" s="53">
        <v>500000</v>
      </c>
      <c r="F189" s="53">
        <v>0</v>
      </c>
      <c r="G189" s="53">
        <v>500000</v>
      </c>
    </row>
    <row r="190" spans="1:7">
      <c r="A190">
        <f>IFERROR(IF(B190="",0,IF(VALUE(LEFT(B190,1))&gt;3,VLOOKUP(VALUE(B190),PROYECCIONES!B:D,3,FALSE),0)),1 + COUNTIF($A$2:A189,"&gt;0"))</f>
        <v>0</v>
      </c>
      <c r="B190" s="52" t="s">
        <v>466</v>
      </c>
      <c r="C190" s="52" t="s">
        <v>467</v>
      </c>
      <c r="D190" s="53">
        <v>0</v>
      </c>
      <c r="E190" s="53">
        <v>18000</v>
      </c>
      <c r="F190" s="53">
        <v>0</v>
      </c>
      <c r="G190" s="53">
        <v>18000</v>
      </c>
    </row>
    <row r="191" spans="1:7">
      <c r="A191">
        <f>IFERROR(IF(B191="",0,IF(VALUE(LEFT(B191,1))&gt;3,VLOOKUP(VALUE(B191),PROYECCIONES!B:D,3,FALSE),0)),1 + COUNTIF($A$2:A190,"&gt;0"))</f>
        <v>0</v>
      </c>
      <c r="B191" s="52" t="s">
        <v>350</v>
      </c>
      <c r="C191" s="52" t="s">
        <v>174</v>
      </c>
      <c r="D191" s="53">
        <v>0</v>
      </c>
      <c r="E191" s="53">
        <v>13238711.08</v>
      </c>
      <c r="F191" s="53">
        <v>0</v>
      </c>
      <c r="G191" s="53">
        <v>13238711.08</v>
      </c>
    </row>
    <row r="192" spans="1:7">
      <c r="A192">
        <f>IFERROR(IF(B192="",0,IF(VALUE(LEFT(B192,1))&gt;3,VLOOKUP(VALUE(B192),PROYECCIONES!B:D,3,FALSE),0)),1 + COUNTIF($A$2:A191,"&gt;0"))</f>
        <v>0</v>
      </c>
      <c r="B192" s="52" t="s">
        <v>422</v>
      </c>
      <c r="C192" s="52" t="s">
        <v>423</v>
      </c>
      <c r="D192" s="53">
        <v>0</v>
      </c>
      <c r="E192" s="53">
        <v>6034709.4199999999</v>
      </c>
      <c r="F192" s="53">
        <v>0</v>
      </c>
      <c r="G192" s="53">
        <v>6034709.4199999999</v>
      </c>
    </row>
    <row r="193" spans="1:7">
      <c r="A193">
        <f>IFERROR(IF(B193="",0,IF(VALUE(LEFT(B193,1))&gt;3,VLOOKUP(VALUE(B193),PROYECCIONES!B:D,3,FALSE),0)),1 + COUNTIF($A$2:A192,"&gt;0"))</f>
        <v>0</v>
      </c>
      <c r="B193" s="52" t="s">
        <v>351</v>
      </c>
      <c r="C193" s="52" t="s">
        <v>178</v>
      </c>
      <c r="D193" s="53">
        <v>0</v>
      </c>
      <c r="E193" s="53">
        <v>903622.21</v>
      </c>
      <c r="F193" s="53">
        <v>0</v>
      </c>
      <c r="G193" s="53">
        <v>903622.21</v>
      </c>
    </row>
    <row r="194" spans="1:7">
      <c r="A194">
        <f>IFERROR(IF(B194="",0,IF(VALUE(LEFT(B194,1))&gt;3,VLOOKUP(VALUE(B194),PROYECCIONES!B:D,3,FALSE),0)),1 + COUNTIF($A$2:A193,"&gt;0"))</f>
        <v>0</v>
      </c>
      <c r="B194" s="52" t="s">
        <v>352</v>
      </c>
      <c r="C194" s="52" t="s">
        <v>179</v>
      </c>
      <c r="D194" s="53">
        <v>0</v>
      </c>
      <c r="E194" s="53">
        <v>715041</v>
      </c>
      <c r="F194" s="53">
        <v>0</v>
      </c>
      <c r="G194" s="53">
        <v>715041</v>
      </c>
    </row>
    <row r="195" spans="1:7">
      <c r="A195">
        <f>IFERROR(IF(B195="",0,IF(VALUE(LEFT(B195,1))&gt;3,VLOOKUP(VALUE(B195),PROYECCIONES!B:D,3,FALSE),0)),1 + COUNTIF($A$2:A194,"&gt;0"))</f>
        <v>0</v>
      </c>
      <c r="B195" s="52" t="s">
        <v>397</v>
      </c>
      <c r="C195" s="52" t="s">
        <v>180</v>
      </c>
      <c r="D195" s="53">
        <v>0</v>
      </c>
      <c r="E195" s="53">
        <v>5845376.1399999997</v>
      </c>
      <c r="F195" s="53">
        <v>0</v>
      </c>
      <c r="G195" s="53">
        <v>5845376.1399999997</v>
      </c>
    </row>
    <row r="196" spans="1:7">
      <c r="A196">
        <f>IFERROR(IF(B196="",0,IF(VALUE(LEFT(B196,1))&gt;3,VLOOKUP(VALUE(B196),PROYECCIONES!B:D,3,FALSE),0)),1 + COUNTIF($A$2:A195,"&gt;0"))</f>
        <v>0</v>
      </c>
      <c r="B196" s="52" t="s">
        <v>353</v>
      </c>
      <c r="C196" s="52" t="s">
        <v>181</v>
      </c>
      <c r="D196" s="53">
        <v>0</v>
      </c>
      <c r="E196" s="53">
        <v>2986371.91</v>
      </c>
      <c r="F196" s="53">
        <v>0</v>
      </c>
      <c r="G196" s="53">
        <v>2986371.91</v>
      </c>
    </row>
    <row r="197" spans="1:7">
      <c r="A197">
        <f>IFERROR(IF(B197="",0,IF(VALUE(LEFT(B197,1))&gt;3,VLOOKUP(VALUE(B197),PROYECCIONES!B:D,3,FALSE),0)),1 + COUNTIF($A$2:A196,"&gt;0"))</f>
        <v>0</v>
      </c>
      <c r="B197" s="52" t="s">
        <v>535</v>
      </c>
      <c r="C197" s="52" t="s">
        <v>183</v>
      </c>
      <c r="D197" s="53">
        <v>0</v>
      </c>
      <c r="E197" s="53">
        <v>775527.03</v>
      </c>
      <c r="F197" s="53">
        <v>0</v>
      </c>
      <c r="G197" s="53">
        <v>775527.03</v>
      </c>
    </row>
    <row r="198" spans="1:7">
      <c r="A198">
        <f>IFERROR(IF(B198="",0,IF(VALUE(LEFT(B198,1))&gt;3,VLOOKUP(VALUE(B198),PROYECCIONES!B:D,3,FALSE),0)),1 + COUNTIF($A$2:A197,"&gt;0"))</f>
        <v>0</v>
      </c>
      <c r="B198" s="52" t="s">
        <v>354</v>
      </c>
      <c r="C198" s="52" t="s">
        <v>107</v>
      </c>
      <c r="D198" s="53">
        <v>0</v>
      </c>
      <c r="E198" s="53">
        <v>41068.589999999997</v>
      </c>
      <c r="F198" s="53">
        <v>0</v>
      </c>
      <c r="G198" s="53">
        <v>41068.590000000098</v>
      </c>
    </row>
    <row r="199" spans="1:7">
      <c r="A199">
        <f>IFERROR(IF(B199="",0,IF(VALUE(LEFT(B199,1))&gt;3,VLOOKUP(VALUE(B199),PROYECCIONES!B:D,3,FALSE),0)),1 + COUNTIF($A$2:A198,"&gt;0"))</f>
        <v>0</v>
      </c>
      <c r="B199" s="52" t="s">
        <v>572</v>
      </c>
      <c r="C199" s="52" t="s">
        <v>573</v>
      </c>
      <c r="D199" s="53">
        <v>0</v>
      </c>
      <c r="E199" s="53">
        <v>447410.15</v>
      </c>
      <c r="F199" s="53">
        <v>0</v>
      </c>
      <c r="G199" s="53">
        <v>447410.15</v>
      </c>
    </row>
    <row r="200" spans="1:7">
      <c r="A200">
        <f>IFERROR(IF(B200="",0,IF(VALUE(LEFT(B200,1))&gt;3,VLOOKUP(VALUE(B200),PROYECCIONES!B:D,3,FALSE),0)),1 + COUNTIF($A$2:A199,"&gt;0"))</f>
        <v>0</v>
      </c>
      <c r="B200" s="52" t="s">
        <v>574</v>
      </c>
      <c r="C200" s="52" t="s">
        <v>575</v>
      </c>
      <c r="D200" s="53">
        <v>0</v>
      </c>
      <c r="E200" s="53">
        <v>43794.9</v>
      </c>
      <c r="F200" s="53">
        <v>0</v>
      </c>
      <c r="G200" s="53">
        <v>43794.9</v>
      </c>
    </row>
    <row r="201" spans="1:7">
      <c r="A201">
        <f>IFERROR(IF(B201="",0,IF(VALUE(LEFT(B201,1))&gt;3,VLOOKUP(VALUE(B201),PROYECCIONES!B:D,3,FALSE),0)),1 + COUNTIF($A$2:A200,"&gt;0"))</f>
        <v>0</v>
      </c>
      <c r="B201" s="52" t="s">
        <v>372</v>
      </c>
      <c r="C201" s="52" t="s">
        <v>184</v>
      </c>
      <c r="D201" s="53">
        <v>0</v>
      </c>
      <c r="E201" s="53">
        <v>182000</v>
      </c>
      <c r="F201" s="53">
        <v>0</v>
      </c>
      <c r="G201" s="53">
        <v>182000</v>
      </c>
    </row>
    <row r="202" spans="1:7">
      <c r="A202">
        <f>IFERROR(IF(B202="",0,IF(VALUE(LEFT(B202,1))&gt;3,VLOOKUP(VALUE(B202),PROYECCIONES!B:D,3,FALSE),0)),1 + COUNTIF($A$2:A201,"&gt;0"))</f>
        <v>0</v>
      </c>
      <c r="B202" s="52" t="s">
        <v>355</v>
      </c>
      <c r="C202" s="52" t="s">
        <v>185</v>
      </c>
      <c r="D202" s="53">
        <v>0</v>
      </c>
      <c r="E202" s="53">
        <v>1200000</v>
      </c>
      <c r="F202" s="53">
        <v>0</v>
      </c>
      <c r="G202" s="53">
        <v>1200000</v>
      </c>
    </row>
    <row r="203" spans="1:7">
      <c r="A203">
        <f>IFERROR(IF(B203="",0,IF(VALUE(LEFT(B203,1))&gt;3,VLOOKUP(VALUE(B203),PROYECCIONES!B:D,3,FALSE),0)),1 + COUNTIF($A$2:A202,"&gt;0"))</f>
        <v>0</v>
      </c>
      <c r="B203" s="52" t="s">
        <v>356</v>
      </c>
      <c r="C203" s="52" t="s">
        <v>99</v>
      </c>
      <c r="D203" s="53">
        <v>-3.4924596548080398E-10</v>
      </c>
      <c r="E203" s="53">
        <v>7788.56</v>
      </c>
      <c r="F203" s="53">
        <v>426.75</v>
      </c>
      <c r="G203" s="53">
        <v>7361.8099999996502</v>
      </c>
    </row>
    <row r="204" spans="1:7">
      <c r="A204">
        <f>IFERROR(IF(B204="",0,IF(VALUE(LEFT(B204,1))&gt;3,VLOOKUP(VALUE(B204),PROYECCIONES!B:D,3,FALSE),0)),1 + COUNTIF($A$2:A203,"&gt;0"))</f>
        <v>0</v>
      </c>
      <c r="B204" s="52" t="s">
        <v>415</v>
      </c>
      <c r="C204" s="52" t="s">
        <v>100</v>
      </c>
      <c r="D204" s="53">
        <v>0</v>
      </c>
      <c r="E204" s="53">
        <v>71281251</v>
      </c>
      <c r="F204" s="53">
        <v>0</v>
      </c>
      <c r="G204" s="53">
        <v>71281251</v>
      </c>
    </row>
    <row r="205" spans="1:7">
      <c r="A205">
        <f>IFERROR(IF(B205="",0,IF(VALUE(LEFT(B205,1))&gt;3,VLOOKUP(VALUE(B205),PROYECCIONES!B:D,3,FALSE),0)),1 + COUNTIF($A$2:A204,"&gt;0"))</f>
        <v>0</v>
      </c>
      <c r="B205" s="52" t="s">
        <v>416</v>
      </c>
      <c r="C205" s="52" t="s">
        <v>101</v>
      </c>
      <c r="D205" s="53">
        <v>0</v>
      </c>
      <c r="E205" s="53">
        <v>2705457</v>
      </c>
      <c r="F205" s="53">
        <v>0</v>
      </c>
      <c r="G205" s="53">
        <v>2705457</v>
      </c>
    </row>
    <row r="206" spans="1:7">
      <c r="A206">
        <f>IFERROR(IF(B206="",0,IF(VALUE(LEFT(B206,1))&gt;3,VLOOKUP(VALUE(B206),PROYECCIONES!B:D,3,FALSE),0)),1 + COUNTIF($A$2:A205,"&gt;0"))</f>
        <v>0</v>
      </c>
      <c r="B206" s="52" t="s">
        <v>398</v>
      </c>
      <c r="C206" s="52" t="s">
        <v>96</v>
      </c>
      <c r="D206" s="53">
        <v>0</v>
      </c>
      <c r="E206" s="53">
        <v>6353756</v>
      </c>
      <c r="F206" s="53">
        <v>0</v>
      </c>
      <c r="G206" s="53">
        <v>6353756</v>
      </c>
    </row>
    <row r="207" spans="1:7">
      <c r="A207">
        <f>IFERROR(IF(B207="",0,IF(VALUE(LEFT(B207,1))&gt;3,VLOOKUP(VALUE(B207),PROYECCIONES!B:D,3,FALSE),0)),1 + COUNTIF($A$2:A206,"&gt;0"))</f>
        <v>0</v>
      </c>
      <c r="B207" s="52" t="s">
        <v>399</v>
      </c>
      <c r="C207" s="52" t="s">
        <v>97</v>
      </c>
      <c r="D207" s="53">
        <v>0</v>
      </c>
      <c r="E207" s="53">
        <v>5555296</v>
      </c>
      <c r="F207" s="53">
        <v>0</v>
      </c>
      <c r="G207" s="53">
        <v>5555296</v>
      </c>
    </row>
    <row r="208" spans="1:7">
      <c r="A208">
        <f>IFERROR(IF(B208="",0,IF(VALUE(LEFT(B208,1))&gt;3,VLOOKUP(VALUE(B208),PROYECCIONES!B:D,3,FALSE),0)),1 + COUNTIF($A$2:A207,"&gt;0"))</f>
        <v>0</v>
      </c>
      <c r="B208" s="52" t="s">
        <v>400</v>
      </c>
      <c r="C208" s="52" t="s">
        <v>98</v>
      </c>
      <c r="D208" s="53">
        <v>0</v>
      </c>
      <c r="E208" s="53">
        <v>3039172</v>
      </c>
      <c r="F208" s="53">
        <v>0</v>
      </c>
      <c r="G208" s="53">
        <v>3039172</v>
      </c>
    </row>
    <row r="209" spans="1:7">
      <c r="A209">
        <f>IFERROR(IF(B209="",0,IF(VALUE(LEFT(B209,1))&gt;3,VLOOKUP(VALUE(B209),PROYECCIONES!B:D,3,FALSE),0)),1 + COUNTIF($A$2:A208,"&gt;0"))</f>
        <v>0</v>
      </c>
      <c r="B209" s="52" t="s">
        <v>401</v>
      </c>
      <c r="C209" s="52" t="s">
        <v>204</v>
      </c>
      <c r="D209" s="53">
        <v>0</v>
      </c>
      <c r="E209" s="53">
        <v>380358</v>
      </c>
      <c r="F209" s="53">
        <v>0</v>
      </c>
      <c r="G209" s="53">
        <v>380358</v>
      </c>
    </row>
    <row r="210" spans="1:7">
      <c r="A210">
        <f>IFERROR(IF(B210="",0,IF(VALUE(LEFT(B210,1))&gt;3,VLOOKUP(VALUE(B210),PROYECCIONES!B:D,3,FALSE),0)),1 + COUNTIF($A$2:A209,"&gt;0"))</f>
        <v>0</v>
      </c>
      <c r="B210" s="52" t="s">
        <v>402</v>
      </c>
      <c r="C210" s="52" t="s">
        <v>205</v>
      </c>
      <c r="D210" s="53">
        <v>0</v>
      </c>
      <c r="E210" s="53">
        <v>8802950</v>
      </c>
      <c r="F210" s="53">
        <v>0</v>
      </c>
      <c r="G210" s="53">
        <v>8802950</v>
      </c>
    </row>
    <row r="211" spans="1:7">
      <c r="A211">
        <f>IFERROR(IF(B211="",0,IF(VALUE(LEFT(B211,1))&gt;3,VLOOKUP(VALUE(B211),PROYECCIONES!B:D,3,FALSE),0)),1 + COUNTIF($A$2:A210,"&gt;0"))</f>
        <v>0</v>
      </c>
      <c r="B211" s="52" t="s">
        <v>403</v>
      </c>
      <c r="C211" s="52" t="s">
        <v>206</v>
      </c>
      <c r="D211" s="53">
        <v>0</v>
      </c>
      <c r="E211" s="53">
        <v>2914600</v>
      </c>
      <c r="F211" s="53">
        <v>0</v>
      </c>
      <c r="G211" s="53">
        <v>2914600</v>
      </c>
    </row>
    <row r="212" spans="1:7">
      <c r="A212">
        <f>IFERROR(IF(B212="",0,IF(VALUE(LEFT(B212,1))&gt;3,VLOOKUP(VALUE(B212),PROYECCIONES!B:D,3,FALSE),0)),1 + COUNTIF($A$2:A211,"&gt;0"))</f>
        <v>0</v>
      </c>
      <c r="B212" s="52" t="s">
        <v>417</v>
      </c>
      <c r="C212" s="52" t="s">
        <v>164</v>
      </c>
      <c r="D212" s="53">
        <v>0</v>
      </c>
      <c r="E212" s="53">
        <v>19200000</v>
      </c>
      <c r="F212" s="53">
        <v>0</v>
      </c>
      <c r="G212" s="53">
        <v>19200000</v>
      </c>
    </row>
    <row r="213" spans="1:7">
      <c r="A213">
        <f>IFERROR(IF(B213="",0,IF(VALUE(LEFT(B213,1))&gt;3,VLOOKUP(VALUE(B213),PROYECCIONES!B:D,3,FALSE),0)),1 + COUNTIF($A$2:A212,"&gt;0"))</f>
        <v>0</v>
      </c>
      <c r="B213" s="52" t="s">
        <v>404</v>
      </c>
      <c r="C213" s="52" t="s">
        <v>102</v>
      </c>
      <c r="D213" s="53">
        <v>0</v>
      </c>
      <c r="E213" s="53">
        <v>762457</v>
      </c>
      <c r="F213" s="53">
        <v>0</v>
      </c>
      <c r="G213" s="53">
        <v>762457</v>
      </c>
    </row>
    <row r="214" spans="1:7">
      <c r="A214">
        <f>IFERROR(IF(B214="",0,IF(VALUE(LEFT(B214,1))&gt;3,VLOOKUP(VALUE(B214),PROYECCIONES!B:D,3,FALSE),0)),1 + COUNTIF($A$2:A213,"&gt;0"))</f>
        <v>0</v>
      </c>
      <c r="B214" s="52" t="s">
        <v>357</v>
      </c>
      <c r="C214" s="52" t="s">
        <v>357</v>
      </c>
      <c r="D214" s="53">
        <v>0</v>
      </c>
      <c r="E214" s="53" t="s">
        <v>616</v>
      </c>
      <c r="F214" s="53" t="s">
        <v>616</v>
      </c>
      <c r="G214" s="53">
        <v>0</v>
      </c>
    </row>
    <row r="215" spans="1:7">
      <c r="A215">
        <f>IFERROR(IF(B215="",0,IF(VALUE(LEFT(B215,1))&gt;3,VLOOKUP(VALUE(B215),PROYECCIONES!B:D,3,FALSE),0)),1 + COUNTIF($A$2:A214,"&gt;0"))</f>
        <v>0</v>
      </c>
    </row>
    <row r="216" spans="1:7">
      <c r="A216">
        <f>IFERROR(IF(B216="",0,IF(VALUE(LEFT(B216,1))&gt;3,VLOOKUP(VALUE(B216),PROYECCIONES!B:D,3,FALSE),0)),1 + COUNTIF($A$2:A215,"&gt;0"))</f>
        <v>0</v>
      </c>
    </row>
    <row r="217" spans="1:7">
      <c r="A217">
        <f>IFERROR(IF(B217="",0,IF(VALUE(LEFT(B217,1))&gt;3,VLOOKUP(VALUE(B217),PROYECCIONES!B:D,3,FALSE),0)),1 + COUNTIF($A$2:A216,"&gt;0"))</f>
        <v>0</v>
      </c>
    </row>
    <row r="218" spans="1:7">
      <c r="A218">
        <f>IFERROR(IF(B218="",0,IF(VALUE(LEFT(B218,1))&gt;3,VLOOKUP(VALUE(B218),PROYECCIONES!B:D,3,FALSE),0)),1 + COUNTIF($A$2:A217,"&gt;0"))</f>
        <v>0</v>
      </c>
    </row>
    <row r="219" spans="1:7">
      <c r="A219">
        <f>IFERROR(IF(B219="",0,IF(VALUE(LEFT(B219,1))&gt;3,VLOOKUP(VALUE(B219),PROYECCIONES!B:D,3,FALSE),0)),1 + COUNTIF($A$2:A218,"&gt;0"))</f>
        <v>0</v>
      </c>
    </row>
    <row r="220" spans="1:7">
      <c r="A220">
        <f>IFERROR(IF(B220="",0,IF(VALUE(LEFT(B220,1))&gt;3,VLOOKUP(VALUE(B220),PROYECCIONES!B:D,3,FALSE),0)),1 + COUNTIF($A$2:A219,"&gt;0"))</f>
        <v>0</v>
      </c>
    </row>
    <row r="221" spans="1:7">
      <c r="A221">
        <f>IFERROR(IF(B221="",0,IF(VALUE(LEFT(B221,1))&gt;3,VLOOKUP(VALUE(B221),PROYECCIONES!B:D,3,FALSE),0)),1 + COUNTIF($A$2:A220,"&gt;0"))</f>
        <v>0</v>
      </c>
    </row>
    <row r="222" spans="1:7">
      <c r="A222">
        <f>IFERROR(IF(B222="",0,IF(VALUE(LEFT(B222,1))&gt;3,VLOOKUP(VALUE(B222),PROYECCIONES!B:D,3,FALSE),0)),1 + COUNTIF($A$2:A221,"&gt;0"))</f>
        <v>0</v>
      </c>
    </row>
    <row r="223" spans="1:7">
      <c r="A223">
        <f>IFERROR(IF(B223="",0,IF(VALUE(LEFT(B223,1))&gt;3,VLOOKUP(VALUE(B223),PROYECCIONES!B:D,3,FALSE),0)),1 + COUNTIF($A$2:A222,"&gt;0"))</f>
        <v>0</v>
      </c>
    </row>
    <row r="224" spans="1:7">
      <c r="A224">
        <f>IFERROR(IF(B224="",0,IF(VALUE(LEFT(B224,1))&gt;3,VLOOKUP(VALUE(B224),PROYECCIONES!B:D,3,FALSE),0)),1 + COUNTIF($A$2:A223,"&gt;0"))</f>
        <v>0</v>
      </c>
    </row>
    <row r="225" spans="1:1">
      <c r="A225">
        <f>IFERROR(IF(B225="",0,IF(VALUE(LEFT(B225,1))&gt;3,VLOOKUP(VALUE(B225),PROYECCIONES!B:D,3,FALSE),0)),1 + COUNTIF($A$2:A224,"&gt;0"))</f>
        <v>0</v>
      </c>
    </row>
    <row r="226" spans="1:1">
      <c r="A226">
        <f>IFERROR(IF(B226="",0,IF(VALUE(LEFT(B226,1))&gt;3,VLOOKUP(VALUE(B226),PROYECCIONES!B:D,3,FALSE),0)),1 + COUNTIF($A$2:A225,"&gt;0"))</f>
        <v>0</v>
      </c>
    </row>
    <row r="227" spans="1:1">
      <c r="A227">
        <f>IFERROR(IF(B227="",0,IF(VALUE(LEFT(B227,1))&gt;3,VLOOKUP(VALUE(B227),PROYECCIONES!B:D,3,FALSE),0)),1 + COUNTIF($A$2:A226,"&gt;0"))</f>
        <v>0</v>
      </c>
    </row>
    <row r="228" spans="1:1">
      <c r="A228">
        <f>IFERROR(IF(B228="",0,IF(VALUE(LEFT(B228,1))&gt;3,VLOOKUP(VALUE(B228),PROYECCIONES!B:D,3,FALSE),0)),1 + COUNTIF($A$2:A227,"&gt;0"))</f>
        <v>0</v>
      </c>
    </row>
    <row r="229" spans="1:1">
      <c r="A229">
        <f>IFERROR(IF(B229="",0,IF(VALUE(LEFT(B229,1))&gt;3,VLOOKUP(VALUE(B229),PROYECCIONES!B:D,3,FALSE),0)),1 + COUNTIF($A$2:A228,"&gt;0"))</f>
        <v>0</v>
      </c>
    </row>
    <row r="230" spans="1:1">
      <c r="A230">
        <f>IFERROR(IF(B230="",0,IF(VALUE(LEFT(B230,1))&gt;3,VLOOKUP(VALUE(B230),PROYECCIONES!B:D,3,FALSE),0)),1 + COUNTIF($A$2:A229,"&gt;0"))</f>
        <v>0</v>
      </c>
    </row>
    <row r="231" spans="1:1">
      <c r="A231">
        <f>IFERROR(IF(B231="",0,IF(VALUE(LEFT(B231,1))&gt;3,VLOOKUP(VALUE(B231),PROYECCIONES!B:D,3,FALSE),0)),1 + COUNTIF($A$2:A230,"&gt;0"))</f>
        <v>0</v>
      </c>
    </row>
    <row r="232" spans="1:1">
      <c r="A232">
        <f>IFERROR(IF(B232="",0,IF(VALUE(LEFT(B232,1))&gt;3,VLOOKUP(VALUE(B232),PROYECCIONES!B:D,3,FALSE),0)),1 + COUNTIF($A$2:A231,"&gt;0"))</f>
        <v>0</v>
      </c>
    </row>
    <row r="233" spans="1:1">
      <c r="A233">
        <f>IFERROR(IF(B233="",0,IF(VALUE(LEFT(B233,1))&gt;3,VLOOKUP(VALUE(B233),PROYECCIONES!B:D,3,FALSE),0)),1 + COUNTIF($A$2:A232,"&gt;0"))</f>
        <v>0</v>
      </c>
    </row>
    <row r="234" spans="1:1">
      <c r="A234">
        <f>IFERROR(IF(B234="",0,IF(VALUE(LEFT(B234,1))&gt;3,VLOOKUP(VALUE(B234),PROYECCIONES!B:D,3,FALSE),0)),1 + COUNTIF($A$2:A233,"&gt;0"))</f>
        <v>0</v>
      </c>
    </row>
    <row r="235" spans="1:1">
      <c r="A235">
        <f>IFERROR(IF(B235="",0,IF(VALUE(LEFT(B235,1))&gt;3,VLOOKUP(VALUE(B235),PROYECCIONES!B:D,3,FALSE),0)),1 + COUNTIF($A$2:A234,"&gt;0"))</f>
        <v>0</v>
      </c>
    </row>
    <row r="236" spans="1:1">
      <c r="A236">
        <f>IFERROR(IF(B236="",0,IF(VALUE(LEFT(B236,1))&gt;3,VLOOKUP(VALUE(B236),PROYECCIONES!B:D,3,FALSE),0)),1 + COUNTIF($A$2:A235,"&gt;0"))</f>
        <v>0</v>
      </c>
    </row>
    <row r="237" spans="1:1">
      <c r="A237">
        <f>IFERROR(IF(B237="",0,IF(VALUE(LEFT(B237,1))&gt;3,VLOOKUP(VALUE(B237),PROYECCIONES!B:D,3,FALSE),0)),1 + COUNTIF($A$2:A236,"&gt;0"))</f>
        <v>0</v>
      </c>
    </row>
    <row r="238" spans="1:1">
      <c r="A238">
        <f>IFERROR(IF(B238="",0,IF(VALUE(LEFT(B238,1))&gt;3,VLOOKUP(VALUE(B238),PROYECCIONES!B:D,3,FALSE),0)),1 + COUNTIF($A$2:A237,"&gt;0"))</f>
        <v>0</v>
      </c>
    </row>
    <row r="239" spans="1:1">
      <c r="A239">
        <f>IFERROR(IF(B239="",0,IF(VALUE(LEFT(B239,1))&gt;3,VLOOKUP(VALUE(B239),PROYECCIONES!B:D,3,FALSE),0)),1 + COUNTIF($A$2:A238,"&gt;0"))</f>
        <v>0</v>
      </c>
    </row>
    <row r="240" spans="1:1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autoFilter ref="A2:I2" xr:uid="{7D50F56A-B616-4874-A71F-F92A0BF4D757}"/>
  <mergeCells count="4">
    <mergeCell ref="D1:D2"/>
    <mergeCell ref="E1:F1"/>
    <mergeCell ref="G1:G2"/>
    <mergeCell ref="B1:C1"/>
  </mergeCells>
  <conditionalFormatting sqref="B215:B1048576">
    <cfRule type="expression" dxfId="5" priority="1">
      <formula>$A215="No Agregada"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8756-E717-4224-8BF2-7599DB1E5E13}">
  <sheetPr codeName="Hoja10"/>
  <dimension ref="A1:M300"/>
  <sheetViews>
    <sheetView workbookViewId="0">
      <pane ySplit="2" topLeftCell="A3" activePane="bottomLeft" state="frozen"/>
      <selection activeCell="K13" sqref="K13"/>
      <selection pane="bottomLeft" activeCell="N10" sqref="N10"/>
    </sheetView>
  </sheetViews>
  <sheetFormatPr baseColWidth="10" defaultRowHeight="15"/>
  <cols>
    <col min="1" max="1" width="20.7109375" hidden="1" customWidth="1"/>
    <col min="2" max="2" width="11.42578125" style="52"/>
    <col min="3" max="3" width="33.28515625" customWidth="1"/>
    <col min="4" max="7" width="12.5703125" style="54" bestFit="1" customWidth="1"/>
    <col min="9" max="13" width="11.42578125" hidden="1" customWidth="1"/>
  </cols>
  <sheetData>
    <row r="1" spans="1:13">
      <c r="B1" s="284"/>
      <c r="C1" s="285"/>
      <c r="D1" s="286"/>
      <c r="E1" s="288"/>
      <c r="F1" s="289"/>
      <c r="G1" s="286"/>
    </row>
    <row r="2" spans="1:13">
      <c r="B2" s="51"/>
      <c r="C2" s="51"/>
      <c r="D2" s="287"/>
      <c r="E2" s="65"/>
      <c r="F2" s="65"/>
      <c r="G2" s="287"/>
    </row>
    <row r="3" spans="1:13">
      <c r="A3">
        <f>IFERROR(IF(B3="",0,IF(VALUE(LEFT(B3,1))&gt;3,VLOOKUP(VALUE(B3),PROYECCIONES!B:D,3,FALSE),0)),1 + COUNTIF($A$2:A2,"&gt;0"))</f>
        <v>0</v>
      </c>
      <c r="C3" s="52"/>
      <c r="D3" s="53"/>
      <c r="E3" s="53"/>
      <c r="F3" s="53"/>
      <c r="G3" s="53"/>
      <c r="I3">
        <f>COUNTIF(A3:A300,"&gt;0")</f>
        <v>0</v>
      </c>
      <c r="J3" t="s">
        <v>3</v>
      </c>
      <c r="K3" t="s">
        <v>223</v>
      </c>
      <c r="L3" t="s">
        <v>224</v>
      </c>
    </row>
    <row r="4" spans="1:13">
      <c r="A4">
        <f>IFERROR(IF(B4="",0,IF(VALUE(LEFT(B4,1))&gt;3,VLOOKUP(VALUE(B4),PROYECCIONES!B:D,3,FALSE),0)),1 + COUNTIF($A$2:A3,"&gt;0"))</f>
        <v>0</v>
      </c>
      <c r="C4" s="52"/>
      <c r="D4" s="53"/>
      <c r="E4" s="53"/>
      <c r="F4" s="53"/>
      <c r="G4" s="53"/>
      <c r="I4" s="123">
        <v>1</v>
      </c>
      <c r="J4" t="str">
        <f>IFERROR(VLOOKUP(I4,'Balance a Sep'!$A$3:$C$300,2,FALSE),"")</f>
        <v/>
      </c>
      <c r="K4" t="str">
        <f>IFERROR(VLOOKUP(I4,'Balance a Sep'!$A$3:$C$300,3,FALSE),"")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</row>
    <row r="5" spans="1:13">
      <c r="A5">
        <f>IFERROR(IF(B5="",0,IF(VALUE(LEFT(B5,1))&gt;3,VLOOKUP(VALUE(B5),PROYECCIONES!B:D,3,FALSE),0)),1 + COUNTIF($A$2:A4,"&gt;0"))</f>
        <v>0</v>
      </c>
      <c r="C5" s="52"/>
      <c r="D5" s="53"/>
      <c r="E5" s="53"/>
      <c r="F5" s="53"/>
      <c r="G5" s="53"/>
      <c r="I5" s="123">
        <v>2</v>
      </c>
      <c r="J5" t="str">
        <f>IFERROR(VLOOKUP(I5,'Balance a Sep'!$A$3:$C$300,2,FALSE),"")</f>
        <v/>
      </c>
      <c r="K5" t="str">
        <f>IFERROR(VLOOKUP(I5,'Balance a Sep'!$A$3:$C$300,3,FALSE),"")</f>
        <v/>
      </c>
      <c r="L5" t="str">
        <f>IFERROR(IF(AND(VALUE(LEFT(J5,1))&gt;=6,VALUE(LEFT(J5,1))&lt;=7),_xlfn.XMATCH(VALUE(J5),PROYECCIONES!$B$1:$B$38,-1,1),_xlfn.XMATCH(VALUE(J5),PROYECCIONES!$B$1:$B$333,-1,1)),"")</f>
        <v/>
      </c>
    </row>
    <row r="6" spans="1:13">
      <c r="A6">
        <f>IFERROR(IF(B6="",0,IF(VALUE(LEFT(B6,1))&gt;3,VLOOKUP(VALUE(B6),PROYECCIONES!B:D,3,FALSE),0)),1 + COUNTIF($A$2:A5,"&gt;0"))</f>
        <v>0</v>
      </c>
      <c r="C6" s="52"/>
      <c r="D6" s="53"/>
      <c r="E6" s="53"/>
      <c r="F6" s="53"/>
      <c r="G6" s="53"/>
      <c r="I6" s="123">
        <v>3</v>
      </c>
      <c r="J6" t="str">
        <f>IFERROR(VLOOKUP(I6,'Balance a Sep'!$A$3:$C$300,2,FALSE),"")</f>
        <v/>
      </c>
      <c r="K6" t="str">
        <f>IFERROR(VLOOKUP(I6,'Balance a Sep'!$A$3:$C$300,3,FALSE),"")</f>
        <v/>
      </c>
      <c r="L6" t="str">
        <f>IFERROR(IF(AND(VALUE(LEFT(J6,1))&gt;=6,VALUE(LEFT(J6,1))&lt;=7),_xlfn.XMATCH(VALUE(J6),PROYECCIONES!$B$1:$B$38,-1,1),_xlfn.XMATCH(VALUE(J6),PROYECCIONES!$B$1:$B$333,-1,1)),"")</f>
        <v/>
      </c>
    </row>
    <row r="7" spans="1:13">
      <c r="A7">
        <f>IFERROR(IF(B7="",0,IF(VALUE(LEFT(B7,1))&gt;3,VLOOKUP(VALUE(B7),PROYECCIONES!B:D,3,FALSE),0)),1 + COUNTIF($A$2:A6,"&gt;0"))</f>
        <v>0</v>
      </c>
      <c r="C7" s="52"/>
      <c r="D7" s="53"/>
      <c r="E7" s="53"/>
      <c r="F7" s="53"/>
      <c r="G7" s="53"/>
      <c r="I7" s="123">
        <v>4</v>
      </c>
      <c r="J7" t="str">
        <f>IFERROR(VLOOKUP(I7,'Balance a Sep'!$A$3:$C$300,2,FALSE),"")</f>
        <v/>
      </c>
      <c r="K7" t="str">
        <f>IFERROR(VLOOKUP(I7,'Balance a Sep'!$A$3:$C$300,3,FALSE),"")</f>
        <v/>
      </c>
      <c r="L7" t="str">
        <f>IFERROR(IF(AND(VALUE(LEFT(J7,1))&gt;=6,VALUE(LEFT(J7,1))&lt;=7),_xlfn.XMATCH(VALUE(J7),PROYECCIONES!$B$1:$B$38,-1,1),_xlfn.XMATCH(VALUE(J7),PROYECCIONES!$B$1:$B$333,-1,1)),"")</f>
        <v/>
      </c>
    </row>
    <row r="8" spans="1:13">
      <c r="A8">
        <f>IFERROR(IF(B8="",0,IF(VALUE(LEFT(B8,1))&gt;3,VLOOKUP(VALUE(B8),PROYECCIONES!B:D,3,FALSE),0)),1 + COUNTIF($A$2:A7,"&gt;0"))</f>
        <v>0</v>
      </c>
      <c r="C8" s="52"/>
      <c r="D8" s="53"/>
      <c r="E8" s="53"/>
      <c r="F8" s="53"/>
      <c r="G8" s="53"/>
      <c r="I8" s="123">
        <v>5</v>
      </c>
      <c r="J8" t="str">
        <f>IFERROR(VLOOKUP(I8,'Balance a Sep'!$A$3:$C$300,2,FALSE),"")</f>
        <v/>
      </c>
      <c r="K8" t="str">
        <f>IFERROR(VLOOKUP(I8,'Balance a Sep'!$A$3:$C$300,3,FALSE),"")</f>
        <v/>
      </c>
      <c r="L8" t="str">
        <f>IFERROR(IF(AND(VALUE(LEFT(J8,1))&gt;=6,VALUE(LEFT(J8,1))&lt;=7),_xlfn.XMATCH(VALUE(J8),PROYECCIONES!$B$1:$B$38,-1,1),_xlfn.XMATCH(VALUE(J8),PROYECCIONES!$B$1:$B$333,-1,1)),"")</f>
        <v/>
      </c>
    </row>
    <row r="9" spans="1:13">
      <c r="A9">
        <f>IFERROR(IF(B9="",0,IF(VALUE(LEFT(B9,1))&gt;3,VLOOKUP(VALUE(B9),PROYECCIONES!B:D,3,FALSE),0)),1 + COUNTIF($A$2:A8,"&gt;0"))</f>
        <v>0</v>
      </c>
      <c r="C9" s="52"/>
      <c r="D9" s="53"/>
      <c r="E9" s="53"/>
      <c r="F9" s="53"/>
      <c r="G9" s="53"/>
      <c r="I9" s="123">
        <v>6</v>
      </c>
      <c r="J9" t="str">
        <f>IFERROR(VLOOKUP(I9,'Balance a Sep'!$A$3:$C$300,2,FALSE),"")</f>
        <v/>
      </c>
      <c r="K9" t="str">
        <f>IFERROR(VLOOKUP(I9,'Balance a Sep'!$A$3:$C$300,3,FALSE),"")</f>
        <v/>
      </c>
      <c r="L9" t="str">
        <f>IFERROR(IF(AND(VALUE(LEFT(J9,1))&gt;=6,VALUE(LEFT(J9,1))&lt;=7),_xlfn.XMATCH(VALUE(J9),PROYECCIONES!$B$1:$B$38,-1,1),_xlfn.XMATCH(VALUE(J9),PROYECCIONES!$B$1:$B$333,-1,1)),"")</f>
        <v/>
      </c>
    </row>
    <row r="10" spans="1:13">
      <c r="A10">
        <f>IFERROR(IF(B10="",0,IF(VALUE(LEFT(B10,1))&gt;3,VLOOKUP(VALUE(B10),PROYECCIONES!B:D,3,FALSE),0)),1 + COUNTIF($A$2:A9,"&gt;0"))</f>
        <v>0</v>
      </c>
      <c r="C10" s="52"/>
      <c r="D10" s="53"/>
      <c r="E10" s="53"/>
      <c r="F10" s="53"/>
      <c r="G10" s="53"/>
      <c r="I10" s="123">
        <v>7</v>
      </c>
      <c r="J10" t="str">
        <f>IFERROR(VLOOKUP(I10,'Balance a Sep'!$A$3:$C$300,2,FALSE),"")</f>
        <v/>
      </c>
      <c r="K10" t="str">
        <f>IFERROR(VLOOKUP(I10,'Balance a Sep'!$A$3:$C$300,3,FALSE),"")</f>
        <v/>
      </c>
      <c r="L10" t="str">
        <f>IFERROR(IF(AND(VALUE(LEFT(J10,1))&gt;=6,VALUE(LEFT(J10,1))&lt;=7),_xlfn.XMATCH(VALUE(J10),PROYECCIONES!$B$1:$B$38,-1,1),_xlfn.XMATCH(VALUE(J10),PROYECCIONES!$B$1:$B$333,-1,1)),"")</f>
        <v/>
      </c>
    </row>
    <row r="11" spans="1:13">
      <c r="A11">
        <f>IFERROR(IF(B11="",0,IF(VALUE(LEFT(B11,1))&gt;3,VLOOKUP(VALUE(B11),PROYECCIONES!B:D,3,FALSE),0)),1 + COUNTIF($A$2:A10,"&gt;0"))</f>
        <v>0</v>
      </c>
      <c r="C11" s="52"/>
      <c r="D11" s="53"/>
      <c r="E11" s="53"/>
      <c r="F11" s="53"/>
      <c r="G11" s="53"/>
      <c r="I11" s="123">
        <v>8</v>
      </c>
      <c r="J11" t="str">
        <f>IFERROR(VLOOKUP(I11,'Balance a Sep'!$A$3:$C$300,2,FALSE),"")</f>
        <v/>
      </c>
      <c r="K11" t="str">
        <f>IFERROR(VLOOKUP(I11,'Balance a Sep'!$A$3:$C$300,3,FALSE),"")</f>
        <v/>
      </c>
      <c r="L11" t="str">
        <f>IFERROR(IF(AND(VALUE(LEFT(J11,1))&gt;=6,VALUE(LEFT(J11,1))&lt;=7),_xlfn.XMATCH(VALUE(J11),PROYECCIONES!$B$1:$B$38,-1,1),_xlfn.XMATCH(VALUE(J11),PROYECCIONES!$B$1:$B$333,-1,1)),"")</f>
        <v/>
      </c>
    </row>
    <row r="12" spans="1:13">
      <c r="A12">
        <f>IFERROR(IF(B12="",0,IF(VALUE(LEFT(B12,1))&gt;3,VLOOKUP(VALUE(B12),PROYECCIONES!B:D,3,FALSE),0)),1 + COUNTIF($A$2:A11,"&gt;0"))</f>
        <v>0</v>
      </c>
      <c r="C12" s="52"/>
      <c r="D12" s="53"/>
      <c r="E12" s="53"/>
      <c r="F12" s="53"/>
      <c r="G12" s="53"/>
      <c r="I12" s="123">
        <v>9</v>
      </c>
      <c r="J12" t="str">
        <f>IFERROR(VLOOKUP(I12,'Balance a Sep'!$A$3:$C$300,2,FALSE),"")</f>
        <v/>
      </c>
      <c r="K12" t="str">
        <f>IFERROR(VLOOKUP(I12,'Balance a Sep'!$A$3:$C$300,3,FALSE),"")</f>
        <v/>
      </c>
      <c r="L12" t="str">
        <f>IFERROR(IF(AND(VALUE(LEFT(J12,1))&gt;=6,VALUE(LEFT(J12,1))&lt;=7),_xlfn.XMATCH(VALUE(J12),PROYECCIONES!$B$1:$B$38,-1,1),_xlfn.XMATCH(VALUE(J12),PROYECCIONES!$B$1:$B$333,-1,1)),"")</f>
        <v/>
      </c>
    </row>
    <row r="13" spans="1:13">
      <c r="A13">
        <f>IFERROR(IF(B13="",0,IF(VALUE(LEFT(B13,1))&gt;3,VLOOKUP(VALUE(B13),PROYECCIONES!B:D,3,FALSE),0)),1 + COUNTIF($A$2:A12,"&gt;0"))</f>
        <v>0</v>
      </c>
      <c r="C13" s="52"/>
      <c r="D13" s="53"/>
      <c r="E13" s="53"/>
      <c r="F13" s="53"/>
      <c r="G13" s="53"/>
      <c r="I13" s="123">
        <v>10</v>
      </c>
      <c r="J13" t="str">
        <f>IFERROR(VLOOKUP(I13,'Balance a Sep'!$A$3:$C$300,2,FALSE),"")</f>
        <v/>
      </c>
      <c r="K13" t="str">
        <f>IFERROR(VLOOKUP(I13,'Balance a Sep'!$A$3:$C$300,3,FALSE),"")</f>
        <v/>
      </c>
      <c r="L13" t="str">
        <f>IFERROR(IF(AND(VALUE(LEFT(J13,1))&gt;=6,VALUE(LEFT(J13,1))&lt;=7),_xlfn.XMATCH(VALUE(J13),PROYECCIONES!$B$1:$B$38,-1,1),_xlfn.XMATCH(VALUE(J13),PROYECCIONES!$B$1:$B$333,-1,1)),"")</f>
        <v/>
      </c>
    </row>
    <row r="14" spans="1:13">
      <c r="A14">
        <f>IFERROR(IF(B14="",0,IF(VALUE(LEFT(B14,1))&gt;3,VLOOKUP(VALUE(B14),PROYECCIONES!B:D,3,FALSE),0)),1 + COUNTIF($A$2:A13,"&gt;0"))</f>
        <v>0</v>
      </c>
      <c r="C14" s="52"/>
      <c r="D14" s="53"/>
      <c r="E14" s="53"/>
      <c r="F14" s="53"/>
      <c r="G14" s="53"/>
      <c r="I14" s="123">
        <v>11</v>
      </c>
      <c r="J14" t="str">
        <f>IFERROR(VLOOKUP(I14,'Balance a Sep'!$A$3:$C$300,2,FALSE),"")</f>
        <v/>
      </c>
      <c r="K14" t="str">
        <f>IFERROR(VLOOKUP(I14,'Balance a Sep'!$A$3:$C$300,3,FALSE),"")</f>
        <v/>
      </c>
      <c r="L14" t="str">
        <f>IFERROR(IF(AND(VALUE(LEFT(J14,1))&gt;=6,VALUE(LEFT(J14,1))&lt;=7),_xlfn.XMATCH(VALUE(J14),PROYECCIONES!$B$1:$B$38,-1,1),_xlfn.XMATCH(VALUE(J14),PROYECCIONES!$B$1:$B$333,-1,1)),"")</f>
        <v/>
      </c>
    </row>
    <row r="15" spans="1:13">
      <c r="A15">
        <f>IFERROR(IF(B15="",0,IF(VALUE(LEFT(B15,1))&gt;3,VLOOKUP(VALUE(B15),PROYECCIONES!B:D,3,FALSE),0)),1 + COUNTIF($A$2:A14,"&gt;0"))</f>
        <v>0</v>
      </c>
      <c r="C15" s="52"/>
      <c r="D15" s="53"/>
      <c r="E15" s="53"/>
      <c r="F15" s="53"/>
      <c r="G15" s="53"/>
      <c r="I15" s="123">
        <v>12</v>
      </c>
      <c r="J15" t="str">
        <f>IFERROR(VLOOKUP(I15,'Balance a Sep'!$A$3:$C$300,2,FALSE),"")</f>
        <v/>
      </c>
      <c r="K15" t="str">
        <f>IFERROR(VLOOKUP(I15,'Balance a Sep'!$A$3:$C$300,3,FALSE),"")</f>
        <v/>
      </c>
      <c r="L15" t="str">
        <f>IFERROR(IF(AND(VALUE(LEFT(J15,1))&gt;=6,VALUE(LEFT(J15,1))&lt;=7),_xlfn.XMATCH(VALUE(J15),PROYECCIONES!$B$1:$B$38,-1,1),_xlfn.XMATCH(VALUE(J15),PROYECCIONES!$B$1:$B$333,-1,1)),"")</f>
        <v/>
      </c>
    </row>
    <row r="16" spans="1:13">
      <c r="A16">
        <f>IFERROR(IF(B16="",0,IF(VALUE(LEFT(B16,1))&gt;3,VLOOKUP(VALUE(B16),PROYECCIONES!B:D,3,FALSE),0)),1 + COUNTIF($A$2:A15,"&gt;0"))</f>
        <v>0</v>
      </c>
      <c r="C16" s="52"/>
      <c r="D16" s="53"/>
      <c r="E16" s="53"/>
      <c r="F16" s="53"/>
      <c r="G16" s="53"/>
      <c r="I16" s="123">
        <v>13</v>
      </c>
      <c r="J16" t="str">
        <f>IFERROR(VLOOKUP(I16,'Balance a Sep'!$A$3:$C$300,2,FALSE),"")</f>
        <v/>
      </c>
      <c r="K16" t="str">
        <f>IFERROR(VLOOKUP(I16,'Balance a Sep'!$A$3:$C$300,3,FALSE),"")</f>
        <v/>
      </c>
      <c r="L16" t="str">
        <f>IFERROR(IF(AND(VALUE(LEFT(J16,1))&gt;=6,VALUE(LEFT(J16,1))&lt;=7),_xlfn.XMATCH(VALUE(J16),PROYECCIONES!$B$1:$B$38,-1,1),_xlfn.XMATCH(VALUE(J16),PROYECCIONES!$B$1:$B$333,-1,1)),"")</f>
        <v/>
      </c>
    </row>
    <row r="17" spans="1:12">
      <c r="A17">
        <f>IFERROR(IF(B17="",0,IF(VALUE(LEFT(B17,1))&gt;3,VLOOKUP(VALUE(B17),PROYECCIONES!B:D,3,FALSE),0)),1 + COUNTIF($A$2:A16,"&gt;0"))</f>
        <v>0</v>
      </c>
      <c r="C17" s="52"/>
      <c r="D17" s="53"/>
      <c r="E17" s="53"/>
      <c r="F17" s="53"/>
      <c r="G17" s="53"/>
      <c r="I17" s="123">
        <v>14</v>
      </c>
      <c r="J17" t="str">
        <f>IFERROR(VLOOKUP(I17,'Balance a Sep'!$A$3:$C$300,2,FALSE),"")</f>
        <v/>
      </c>
      <c r="K17" t="str">
        <f>IFERROR(VLOOKUP(I17,'Balance a Sep'!$A$3:$C$300,3,FALSE),"")</f>
        <v/>
      </c>
      <c r="L17" t="str">
        <f>IFERROR(IF(AND(VALUE(LEFT(J17,1))&gt;=6,VALUE(LEFT(J17,1))&lt;=7),_xlfn.XMATCH(VALUE(J17),PROYECCIONES!$B$1:$B$38,-1,1),_xlfn.XMATCH(VALUE(J17),PROYECCIONES!$B$1:$B$333,-1,1)),"")</f>
        <v/>
      </c>
    </row>
    <row r="18" spans="1:12">
      <c r="A18">
        <f>IFERROR(IF(B18="",0,IF(VALUE(LEFT(B18,1))&gt;3,VLOOKUP(VALUE(B18),PROYECCIONES!B:D,3,FALSE),0)),1 + COUNTIF($A$2:A17,"&gt;0"))</f>
        <v>0</v>
      </c>
      <c r="C18" s="52"/>
      <c r="D18" s="53"/>
      <c r="E18" s="53"/>
      <c r="F18" s="53"/>
      <c r="G18" s="53"/>
      <c r="I18" s="123">
        <v>15</v>
      </c>
      <c r="J18" t="str">
        <f>IFERROR(VLOOKUP(I18,'Balance a Sep'!$A$3:$C$300,2,FALSE),"")</f>
        <v/>
      </c>
      <c r="K18" t="str">
        <f>IFERROR(VLOOKUP(I18,'Balance a Sep'!$A$3:$C$300,3,FALSE),"")</f>
        <v/>
      </c>
      <c r="L18" t="str">
        <f>IFERROR(IF(AND(VALUE(LEFT(J18,1))&gt;=6,VALUE(LEFT(J18,1))&lt;=7),_xlfn.XMATCH(VALUE(J18),PROYECCIONES!$B$1:$B$38,-1,1),_xlfn.XMATCH(VALUE(J18),PROYECCIONES!$B$1:$B$333,-1,1)),"")</f>
        <v/>
      </c>
    </row>
    <row r="19" spans="1:12">
      <c r="A19">
        <f>IFERROR(IF(B19="",0,IF(VALUE(LEFT(B19,1))&gt;3,VLOOKUP(VALUE(B19),PROYECCIONES!B:D,3,FALSE),0)),1 + COUNTIF($A$2:A18,"&gt;0"))</f>
        <v>0</v>
      </c>
      <c r="C19" s="52"/>
      <c r="D19" s="53"/>
      <c r="E19" s="53"/>
      <c r="F19" s="53"/>
      <c r="G19" s="53"/>
    </row>
    <row r="20" spans="1:12">
      <c r="A20">
        <f>IFERROR(IF(B20="",0,IF(VALUE(LEFT(B20,1))&gt;3,VLOOKUP(VALUE(B20),PROYECCIONES!B:D,3,FALSE),0)),1 + COUNTIF($A$2:A19,"&gt;0"))</f>
        <v>0</v>
      </c>
      <c r="C20" s="52"/>
      <c r="D20" s="53"/>
      <c r="E20" s="53"/>
      <c r="F20" s="53"/>
      <c r="G20" s="53"/>
    </row>
    <row r="21" spans="1:12">
      <c r="A21">
        <f>IFERROR(IF(B21="",0,IF(VALUE(LEFT(B21,1))&gt;3,VLOOKUP(VALUE(B21),PROYECCIONES!B:D,3,FALSE),0)),1 + COUNTIF($A$2:A20,"&gt;0"))</f>
        <v>0</v>
      </c>
      <c r="C21" s="52"/>
      <c r="D21" s="53"/>
      <c r="E21" s="53"/>
      <c r="F21" s="53"/>
      <c r="G21" s="53"/>
    </row>
    <row r="22" spans="1:12">
      <c r="A22">
        <f>IFERROR(IF(B22="",0,IF(VALUE(LEFT(B22,1))&gt;3,VLOOKUP(VALUE(B22),PROYECCIONES!B:D,3,FALSE),0)),1 + COUNTIF($A$2:A21,"&gt;0"))</f>
        <v>0</v>
      </c>
      <c r="C22" s="52"/>
      <c r="D22" s="53"/>
      <c r="E22" s="53"/>
      <c r="F22" s="53"/>
      <c r="G22" s="53"/>
    </row>
    <row r="23" spans="1:12">
      <c r="A23">
        <f>IFERROR(IF(B23="",0,IF(VALUE(LEFT(B23,1))&gt;3,VLOOKUP(VALUE(B23),PROYECCIONES!B:D,3,FALSE),0)),1 + COUNTIF($A$2:A22,"&gt;0"))</f>
        <v>0</v>
      </c>
      <c r="C23" s="52"/>
      <c r="D23" s="53"/>
      <c r="E23" s="53"/>
      <c r="F23" s="53"/>
      <c r="G23" s="53"/>
    </row>
    <row r="24" spans="1:12">
      <c r="A24">
        <f>IFERROR(IF(B24="",0,IF(VALUE(LEFT(B24,1))&gt;3,VLOOKUP(VALUE(B24),PROYECCIONES!B:D,3,FALSE),0)),1 + COUNTIF($A$2:A23,"&gt;0"))</f>
        <v>0</v>
      </c>
      <c r="C24" s="52"/>
      <c r="D24" s="53"/>
      <c r="E24" s="53"/>
      <c r="F24" s="53"/>
      <c r="G24" s="53"/>
    </row>
    <row r="25" spans="1:12">
      <c r="A25">
        <f>IFERROR(IF(B25="",0,IF(VALUE(LEFT(B25,1))&gt;3,VLOOKUP(VALUE(B25),PROYECCIONES!B:D,3,FALSE),0)),1 + COUNTIF($A$2:A24,"&gt;0"))</f>
        <v>0</v>
      </c>
      <c r="C25" s="52"/>
      <c r="D25" s="53"/>
      <c r="E25" s="53"/>
      <c r="F25" s="53"/>
      <c r="G25" s="53"/>
    </row>
    <row r="26" spans="1:12">
      <c r="A26">
        <f>IFERROR(IF(B26="",0,IF(VALUE(LEFT(B26,1))&gt;3,VLOOKUP(VALUE(B26),PROYECCIONES!B:D,3,FALSE),0)),1 + COUNTIF($A$2:A25,"&gt;0"))</f>
        <v>0</v>
      </c>
      <c r="C26" s="52"/>
      <c r="D26" s="53"/>
      <c r="E26" s="53"/>
      <c r="F26" s="53"/>
      <c r="G26" s="53"/>
    </row>
    <row r="27" spans="1:12">
      <c r="A27">
        <f>IFERROR(IF(B27="",0,IF(VALUE(LEFT(B27,1))&gt;3,VLOOKUP(VALUE(B27),PROYECCIONES!B:D,3,FALSE),0)),1 + COUNTIF($A$2:A26,"&gt;0"))</f>
        <v>0</v>
      </c>
      <c r="C27" s="52"/>
      <c r="D27" s="53"/>
      <c r="E27" s="53"/>
      <c r="F27" s="53"/>
      <c r="G27" s="53"/>
    </row>
    <row r="28" spans="1:12">
      <c r="A28">
        <f>IFERROR(IF(B28="",0,IF(VALUE(LEFT(B28,1))&gt;3,VLOOKUP(VALUE(B28),PROYECCIONES!B:D,3,FALSE),0)),1 + COUNTIF($A$2:A27,"&gt;0"))</f>
        <v>0</v>
      </c>
      <c r="C28" s="52"/>
      <c r="D28" s="53"/>
      <c r="E28" s="53"/>
      <c r="F28" s="53"/>
      <c r="G28" s="53"/>
    </row>
    <row r="29" spans="1:12">
      <c r="A29">
        <f>IFERROR(IF(B29="",0,IF(VALUE(LEFT(B29,1))&gt;3,VLOOKUP(VALUE(B29),PROYECCIONES!B:D,3,FALSE),0)),1 + COUNTIF($A$2:A28,"&gt;0"))</f>
        <v>0</v>
      </c>
      <c r="C29" s="52"/>
      <c r="D29" s="53"/>
      <c r="E29" s="53"/>
      <c r="F29" s="53"/>
      <c r="G29" s="53"/>
    </row>
    <row r="30" spans="1:12">
      <c r="A30">
        <f>IFERROR(IF(B30="",0,IF(VALUE(LEFT(B30,1))&gt;3,VLOOKUP(VALUE(B30),PROYECCIONES!B:D,3,FALSE),0)),1 + COUNTIF($A$2:A29,"&gt;0"))</f>
        <v>0</v>
      </c>
      <c r="C30" s="52"/>
      <c r="D30" s="53"/>
      <c r="E30" s="53"/>
      <c r="F30" s="53"/>
      <c r="G30" s="53"/>
    </row>
    <row r="31" spans="1:12">
      <c r="A31">
        <f>IFERROR(IF(B31="",0,IF(VALUE(LEFT(B31,1))&gt;3,VLOOKUP(VALUE(B31),PROYECCIONES!B:D,3,FALSE),0)),1 + COUNTIF($A$2:A30,"&gt;0"))</f>
        <v>0</v>
      </c>
      <c r="C31" s="52"/>
      <c r="D31" s="53"/>
      <c r="E31" s="53"/>
      <c r="F31" s="53"/>
      <c r="G31" s="53"/>
    </row>
    <row r="32" spans="1:12">
      <c r="A32">
        <f>IFERROR(IF(B32="",0,IF(VALUE(LEFT(B32,1))&gt;3,VLOOKUP(VALUE(B32),PROYECCIONES!B:D,3,FALSE),0)),1 + COUNTIF($A$2:A31,"&gt;0"))</f>
        <v>0</v>
      </c>
      <c r="C32" s="52"/>
      <c r="D32" s="53"/>
      <c r="E32" s="53"/>
      <c r="F32" s="53"/>
      <c r="G32" s="53"/>
    </row>
    <row r="33" spans="1:7">
      <c r="A33">
        <f>IFERROR(IF(B33="",0,IF(VALUE(LEFT(B33,1))&gt;3,VLOOKUP(VALUE(B33),PROYECCIONES!B:D,3,FALSE),0)),1 + COUNTIF($A$2:A32,"&gt;0"))</f>
        <v>0</v>
      </c>
      <c r="C33" s="52"/>
      <c r="D33" s="53"/>
      <c r="E33" s="53"/>
      <c r="F33" s="53"/>
      <c r="G33" s="53"/>
    </row>
    <row r="34" spans="1:7">
      <c r="A34">
        <f>IFERROR(IF(B34="",0,IF(VALUE(LEFT(B34,1))&gt;3,VLOOKUP(VALUE(B34),PROYECCIONES!B:D,3,FALSE),0)),1 + COUNTIF($A$2:A33,"&gt;0"))</f>
        <v>0</v>
      </c>
      <c r="C34" s="52"/>
      <c r="D34" s="53"/>
      <c r="E34" s="53"/>
      <c r="F34" s="53"/>
      <c r="G34" s="53"/>
    </row>
    <row r="35" spans="1:7">
      <c r="A35">
        <f>IFERROR(IF(B35="",0,IF(VALUE(LEFT(B35,1))&gt;3,VLOOKUP(VALUE(B35),PROYECCIONES!B:D,3,FALSE),0)),1 + COUNTIF($A$2:A34,"&gt;0"))</f>
        <v>0</v>
      </c>
      <c r="C35" s="52"/>
      <c r="D35" s="53"/>
      <c r="E35" s="53"/>
      <c r="F35" s="53"/>
      <c r="G35" s="53"/>
    </row>
    <row r="36" spans="1:7">
      <c r="A36">
        <f>IFERROR(IF(B36="",0,IF(VALUE(LEFT(B36,1))&gt;3,VLOOKUP(VALUE(B36),PROYECCIONES!B:D,3,FALSE),0)),1 + COUNTIF($A$2:A35,"&gt;0"))</f>
        <v>0</v>
      </c>
      <c r="C36" s="52"/>
      <c r="D36" s="53"/>
      <c r="E36" s="53"/>
      <c r="F36" s="53"/>
      <c r="G36" s="53"/>
    </row>
    <row r="37" spans="1:7">
      <c r="A37">
        <f>IFERROR(IF(B37="",0,IF(VALUE(LEFT(B37,1))&gt;3,VLOOKUP(VALUE(B37),PROYECCIONES!B:D,3,FALSE),0)),1 + COUNTIF($A$2:A36,"&gt;0"))</f>
        <v>0</v>
      </c>
      <c r="C37" s="52"/>
      <c r="D37" s="53"/>
      <c r="E37" s="53"/>
      <c r="F37" s="53"/>
      <c r="G37" s="53"/>
    </row>
    <row r="38" spans="1:7">
      <c r="A38">
        <f>IFERROR(IF(B38="",0,IF(VALUE(LEFT(B38,1))&gt;3,VLOOKUP(VALUE(B38),PROYECCIONES!B:D,3,FALSE),0)),1 + COUNTIF($A$2:A37,"&gt;0"))</f>
        <v>0</v>
      </c>
      <c r="C38" s="52"/>
      <c r="D38" s="53"/>
      <c r="E38" s="53"/>
      <c r="F38" s="53"/>
      <c r="G38" s="53"/>
    </row>
    <row r="39" spans="1:7">
      <c r="A39">
        <f>IFERROR(IF(B39="",0,IF(VALUE(LEFT(B39,1))&gt;3,VLOOKUP(VALUE(B39),PROYECCIONES!B:D,3,FALSE),0)),1 + COUNTIF($A$2:A38,"&gt;0"))</f>
        <v>0</v>
      </c>
      <c r="C39" s="52"/>
      <c r="D39" s="53"/>
      <c r="E39" s="53"/>
      <c r="F39" s="53"/>
      <c r="G39" s="53"/>
    </row>
    <row r="40" spans="1:7">
      <c r="A40">
        <f>IFERROR(IF(B40="",0,IF(VALUE(LEFT(B40,1))&gt;3,VLOOKUP(VALUE(B40),PROYECCIONES!B:D,3,FALSE),0)),1 + COUNTIF($A$2:A39,"&gt;0"))</f>
        <v>0</v>
      </c>
      <c r="C40" s="52"/>
      <c r="D40" s="53"/>
      <c r="E40" s="53"/>
      <c r="F40" s="53"/>
      <c r="G40" s="53"/>
    </row>
    <row r="41" spans="1:7">
      <c r="A41">
        <f>IFERROR(IF(B41="",0,IF(VALUE(LEFT(B41,1))&gt;3,VLOOKUP(VALUE(B41),PROYECCIONES!B:D,3,FALSE),0)),1 + COUNTIF($A$2:A40,"&gt;0"))</f>
        <v>0</v>
      </c>
      <c r="C41" s="52"/>
      <c r="D41" s="53"/>
      <c r="E41" s="53"/>
      <c r="F41" s="53"/>
      <c r="G41" s="53"/>
    </row>
    <row r="42" spans="1:7">
      <c r="A42">
        <f>IFERROR(IF(B42="",0,IF(VALUE(LEFT(B42,1))&gt;3,VLOOKUP(VALUE(B42),PROYECCIONES!B:D,3,FALSE),0)),1 + COUNTIF($A$2:A41,"&gt;0"))</f>
        <v>0</v>
      </c>
      <c r="C42" s="52"/>
      <c r="D42" s="53"/>
      <c r="E42" s="53"/>
      <c r="F42" s="53"/>
      <c r="G42" s="53"/>
    </row>
    <row r="43" spans="1:7">
      <c r="A43">
        <f>IFERROR(IF(B43="",0,IF(VALUE(LEFT(B43,1))&gt;3,VLOOKUP(VALUE(B43),PROYECCIONES!B:D,3,FALSE),0)),1 + COUNTIF($A$2:A42,"&gt;0"))</f>
        <v>0</v>
      </c>
      <c r="C43" s="52"/>
      <c r="D43" s="53"/>
      <c r="E43" s="53"/>
      <c r="F43" s="53"/>
      <c r="G43" s="53"/>
    </row>
    <row r="44" spans="1:7">
      <c r="A44">
        <f>IFERROR(IF(B44="",0,IF(VALUE(LEFT(B44,1))&gt;3,VLOOKUP(VALUE(B44),PROYECCIONES!B:D,3,FALSE),0)),1 + COUNTIF($A$2:A43,"&gt;0"))</f>
        <v>0</v>
      </c>
      <c r="C44" s="52"/>
      <c r="D44" s="53"/>
      <c r="E44" s="53"/>
      <c r="F44" s="53"/>
      <c r="G44" s="53"/>
    </row>
    <row r="45" spans="1:7">
      <c r="A45">
        <f>IFERROR(IF(B45="",0,IF(VALUE(LEFT(B45,1))&gt;3,VLOOKUP(VALUE(B45),PROYECCIONES!B:D,3,FALSE),0)),1 + COUNTIF($A$2:A44,"&gt;0"))</f>
        <v>0</v>
      </c>
      <c r="C45" s="52"/>
      <c r="D45" s="53"/>
      <c r="E45" s="53"/>
      <c r="F45" s="53"/>
      <c r="G45" s="53"/>
    </row>
    <row r="46" spans="1:7">
      <c r="A46">
        <f>IFERROR(IF(B46="",0,IF(VALUE(LEFT(B46,1))&gt;3,VLOOKUP(VALUE(B46),PROYECCIONES!B:D,3,FALSE),0)),1 + COUNTIF($A$2:A45,"&gt;0"))</f>
        <v>0</v>
      </c>
      <c r="C46" s="52"/>
      <c r="D46" s="53"/>
      <c r="E46" s="53"/>
      <c r="F46" s="53"/>
      <c r="G46" s="53"/>
    </row>
    <row r="47" spans="1:7">
      <c r="A47">
        <f>IFERROR(IF(B47="",0,IF(VALUE(LEFT(B47,1))&gt;3,VLOOKUP(VALUE(B47),PROYECCIONES!B:D,3,FALSE),0)),1 + COUNTIF($A$2:A46,"&gt;0"))</f>
        <v>0</v>
      </c>
      <c r="C47" s="52"/>
      <c r="D47" s="53"/>
      <c r="E47" s="53"/>
      <c r="F47" s="53"/>
      <c r="G47" s="53"/>
    </row>
    <row r="48" spans="1:7">
      <c r="A48">
        <f>IFERROR(IF(B48="",0,IF(VALUE(LEFT(B48,1))&gt;3,VLOOKUP(VALUE(B48),PROYECCIONES!B:D,3,FALSE),0)),1 + COUNTIF($A$2:A47,"&gt;0"))</f>
        <v>0</v>
      </c>
      <c r="C48" s="52"/>
      <c r="D48" s="53"/>
      <c r="E48" s="53"/>
      <c r="F48" s="53"/>
      <c r="G48" s="53"/>
    </row>
    <row r="49" spans="1:7">
      <c r="A49">
        <f>IFERROR(IF(B49="",0,IF(VALUE(LEFT(B49,1))&gt;3,VLOOKUP(VALUE(B49),PROYECCIONES!B:D,3,FALSE),0)),1 + COUNTIF($A$2:A48,"&gt;0"))</f>
        <v>0</v>
      </c>
      <c r="C49" s="52"/>
      <c r="D49" s="53"/>
      <c r="E49" s="53"/>
      <c r="F49" s="53"/>
      <c r="G49" s="53"/>
    </row>
    <row r="50" spans="1:7">
      <c r="A50">
        <f>IFERROR(IF(B50="",0,IF(VALUE(LEFT(B50,1))&gt;3,VLOOKUP(VALUE(B50),PROYECCIONES!B:D,3,FALSE),0)),1 + COUNTIF($A$2:A49,"&gt;0"))</f>
        <v>0</v>
      </c>
      <c r="C50" s="52"/>
      <c r="D50" s="53"/>
      <c r="E50" s="53"/>
      <c r="F50" s="53"/>
      <c r="G50" s="53"/>
    </row>
    <row r="51" spans="1:7">
      <c r="A51">
        <f>IFERROR(IF(B51="",0,IF(VALUE(LEFT(B51,1))&gt;3,VLOOKUP(VALUE(B51),PROYECCIONES!B:D,3,FALSE),0)),1 + COUNTIF($A$2:A50,"&gt;0"))</f>
        <v>0</v>
      </c>
      <c r="C51" s="52"/>
      <c r="D51" s="53"/>
      <c r="E51" s="53"/>
      <c r="F51" s="53"/>
      <c r="G51" s="53"/>
    </row>
    <row r="52" spans="1:7">
      <c r="A52">
        <f>IFERROR(IF(B52="",0,IF(VALUE(LEFT(B52,1))&gt;3,VLOOKUP(VALUE(B52),PROYECCIONES!B:D,3,FALSE),0)),1 + COUNTIF($A$2:A51,"&gt;0"))</f>
        <v>0</v>
      </c>
      <c r="C52" s="52"/>
      <c r="D52" s="53"/>
      <c r="E52" s="53"/>
      <c r="F52" s="53"/>
      <c r="G52" s="53"/>
    </row>
    <row r="53" spans="1:7">
      <c r="A53">
        <f>IFERROR(IF(B53="",0,IF(VALUE(LEFT(B53,1))&gt;3,VLOOKUP(VALUE(B53),PROYECCIONES!B:D,3,FALSE),0)),1 + COUNTIF($A$2:A52,"&gt;0"))</f>
        <v>0</v>
      </c>
      <c r="C53" s="52"/>
      <c r="D53" s="53"/>
      <c r="E53" s="53"/>
      <c r="F53" s="53"/>
      <c r="G53" s="53"/>
    </row>
    <row r="54" spans="1:7">
      <c r="A54">
        <f>IFERROR(IF(B54="",0,IF(VALUE(LEFT(B54,1))&gt;3,VLOOKUP(VALUE(B54),PROYECCIONES!B:D,3,FALSE),0)),1 + COUNTIF($A$2:A53,"&gt;0"))</f>
        <v>0</v>
      </c>
      <c r="C54" s="52"/>
      <c r="D54" s="53"/>
      <c r="E54" s="53"/>
      <c r="F54" s="53"/>
      <c r="G54" s="53"/>
    </row>
    <row r="55" spans="1:7">
      <c r="A55">
        <f>IFERROR(IF(B55="",0,IF(VALUE(LEFT(B55,1))&gt;3,VLOOKUP(VALUE(B55),PROYECCIONES!B:D,3,FALSE),0)),1 + COUNTIF($A$2:A54,"&gt;0"))</f>
        <v>0</v>
      </c>
      <c r="C55" s="52"/>
      <c r="D55" s="53"/>
      <c r="E55" s="53"/>
      <c r="F55" s="53"/>
      <c r="G55" s="53"/>
    </row>
    <row r="56" spans="1:7">
      <c r="A56">
        <f>IFERROR(IF(B56="",0,IF(VALUE(LEFT(B56,1))&gt;3,VLOOKUP(VALUE(B56),PROYECCIONES!B:D,3,FALSE),0)),1 + COUNTIF($A$2:A55,"&gt;0"))</f>
        <v>0</v>
      </c>
      <c r="C56" s="52"/>
      <c r="D56" s="53"/>
      <c r="E56" s="53"/>
      <c r="F56" s="53"/>
      <c r="G56" s="53"/>
    </row>
    <row r="57" spans="1:7">
      <c r="A57">
        <f>IFERROR(IF(B57="",0,IF(VALUE(LEFT(B57,1))&gt;3,VLOOKUP(VALUE(B57),PROYECCIONES!B:D,3,FALSE),0)),1 + COUNTIF($A$2:A56,"&gt;0"))</f>
        <v>0</v>
      </c>
      <c r="C57" s="52"/>
      <c r="D57" s="53"/>
      <c r="E57" s="53"/>
      <c r="F57" s="53"/>
      <c r="G57" s="53"/>
    </row>
    <row r="58" spans="1:7">
      <c r="A58">
        <f>IFERROR(IF(B58="",0,IF(VALUE(LEFT(B58,1))&gt;3,VLOOKUP(VALUE(B58),PROYECCIONES!B:D,3,FALSE),0)),1 + COUNTIF($A$2:A57,"&gt;0"))</f>
        <v>0</v>
      </c>
      <c r="C58" s="52"/>
      <c r="D58" s="53"/>
      <c r="E58" s="53"/>
      <c r="F58" s="53"/>
      <c r="G58" s="53"/>
    </row>
    <row r="59" spans="1:7">
      <c r="A59">
        <f>IFERROR(IF(B59="",0,IF(VALUE(LEFT(B59,1))&gt;3,VLOOKUP(VALUE(B59),PROYECCIONES!B:D,3,FALSE),0)),1 + COUNTIF($A$2:A58,"&gt;0"))</f>
        <v>0</v>
      </c>
      <c r="C59" s="52"/>
      <c r="D59" s="53"/>
      <c r="E59" s="53"/>
      <c r="F59" s="53"/>
      <c r="G59" s="53"/>
    </row>
    <row r="60" spans="1:7">
      <c r="A60">
        <f>IFERROR(IF(B60="",0,IF(VALUE(LEFT(B60,1))&gt;3,VLOOKUP(VALUE(B60),PROYECCIONES!B:D,3,FALSE),0)),1 + COUNTIF($A$2:A59,"&gt;0"))</f>
        <v>0</v>
      </c>
      <c r="C60" s="52"/>
      <c r="D60" s="53"/>
      <c r="E60" s="53"/>
      <c r="F60" s="53"/>
      <c r="G60" s="53"/>
    </row>
    <row r="61" spans="1:7">
      <c r="A61">
        <f>IFERROR(IF(B61="",0,IF(VALUE(LEFT(B61,1))&gt;3,VLOOKUP(VALUE(B61),PROYECCIONES!B:D,3,FALSE),0)),1 + COUNTIF($A$2:A60,"&gt;0"))</f>
        <v>0</v>
      </c>
      <c r="C61" s="52"/>
      <c r="D61" s="53"/>
      <c r="E61" s="53"/>
      <c r="F61" s="53"/>
      <c r="G61" s="53"/>
    </row>
    <row r="62" spans="1:7">
      <c r="A62">
        <f>IFERROR(IF(B62="",0,IF(VALUE(LEFT(B62,1))&gt;3,VLOOKUP(VALUE(B62),PROYECCIONES!B:D,3,FALSE),0)),1 + COUNTIF($A$2:A61,"&gt;0"))</f>
        <v>0</v>
      </c>
      <c r="C62" s="52"/>
      <c r="D62" s="53"/>
      <c r="E62" s="53"/>
      <c r="F62" s="53"/>
      <c r="G62" s="53"/>
    </row>
    <row r="63" spans="1:7">
      <c r="A63">
        <f>IFERROR(IF(B63="",0,IF(VALUE(LEFT(B63,1))&gt;3,VLOOKUP(VALUE(B63),PROYECCIONES!B:D,3,FALSE),0)),1 + COUNTIF($A$2:A62,"&gt;0"))</f>
        <v>0</v>
      </c>
      <c r="C63" s="52"/>
      <c r="D63" s="53"/>
      <c r="E63" s="53"/>
      <c r="F63" s="53"/>
      <c r="G63" s="53"/>
    </row>
    <row r="64" spans="1:7">
      <c r="A64">
        <f>IFERROR(IF(B64="",0,IF(VALUE(LEFT(B64,1))&gt;3,VLOOKUP(VALUE(B64),PROYECCIONES!B:D,3,FALSE),0)),1 + COUNTIF($A$2:A63,"&gt;0"))</f>
        <v>0</v>
      </c>
      <c r="C64" s="52"/>
      <c r="D64" s="53"/>
      <c r="E64" s="53"/>
      <c r="F64" s="53"/>
      <c r="G64" s="53"/>
    </row>
    <row r="65" spans="1:7">
      <c r="A65">
        <f>IFERROR(IF(B65="",0,IF(VALUE(LEFT(B65,1))&gt;3,VLOOKUP(VALUE(B65),PROYECCIONES!B:D,3,FALSE),0)),1 + COUNTIF($A$2:A64,"&gt;0"))</f>
        <v>0</v>
      </c>
      <c r="C65" s="52"/>
      <c r="D65" s="53"/>
      <c r="E65" s="53"/>
      <c r="F65" s="53"/>
      <c r="G65" s="53"/>
    </row>
    <row r="66" spans="1:7">
      <c r="A66">
        <f>IFERROR(IF(B66="",0,IF(VALUE(LEFT(B66,1))&gt;3,VLOOKUP(VALUE(B66),PROYECCIONES!B:D,3,FALSE),0)),1 + COUNTIF($A$2:A65,"&gt;0"))</f>
        <v>0</v>
      </c>
      <c r="C66" s="52"/>
      <c r="D66" s="53"/>
      <c r="E66" s="53"/>
      <c r="F66" s="53"/>
      <c r="G66" s="53"/>
    </row>
    <row r="67" spans="1:7">
      <c r="A67">
        <f>IFERROR(IF(B67="",0,IF(VALUE(LEFT(B67,1))&gt;3,VLOOKUP(VALUE(B67),PROYECCIONES!B:D,3,FALSE),0)),1 + COUNTIF($A$2:A66,"&gt;0"))</f>
        <v>0</v>
      </c>
      <c r="C67" s="52"/>
      <c r="D67" s="53"/>
      <c r="E67" s="53"/>
      <c r="F67" s="53"/>
      <c r="G67" s="53"/>
    </row>
    <row r="68" spans="1:7">
      <c r="A68">
        <f>IFERROR(IF(B68="",0,IF(VALUE(LEFT(B68,1))&gt;3,VLOOKUP(VALUE(B68),PROYECCIONES!B:D,3,FALSE),0)),1 + COUNTIF($A$2:A67,"&gt;0"))</f>
        <v>0</v>
      </c>
      <c r="C68" s="52"/>
      <c r="D68" s="53"/>
      <c r="E68" s="53"/>
      <c r="F68" s="53"/>
      <c r="G68" s="53"/>
    </row>
    <row r="69" spans="1:7">
      <c r="A69">
        <f>IFERROR(IF(B69="",0,IF(VALUE(LEFT(B69,1))&gt;3,VLOOKUP(VALUE(B69),PROYECCIONES!B:D,3,FALSE),0)),1 + COUNTIF($A$2:A68,"&gt;0"))</f>
        <v>0</v>
      </c>
      <c r="C69" s="52"/>
      <c r="D69" s="53"/>
      <c r="E69" s="53"/>
      <c r="F69" s="53"/>
      <c r="G69" s="53"/>
    </row>
    <row r="70" spans="1:7">
      <c r="A70">
        <f>IFERROR(IF(B70="",0,IF(VALUE(LEFT(B70,1))&gt;3,VLOOKUP(VALUE(B70),PROYECCIONES!B:D,3,FALSE),0)),1 + COUNTIF($A$2:A69,"&gt;0"))</f>
        <v>0</v>
      </c>
      <c r="C70" s="52"/>
      <c r="D70" s="53"/>
      <c r="E70" s="53"/>
      <c r="F70" s="53"/>
      <c r="G70" s="53"/>
    </row>
    <row r="71" spans="1:7">
      <c r="A71">
        <f>IFERROR(IF(B71="",0,IF(VALUE(LEFT(B71,1))&gt;3,VLOOKUP(VALUE(B71),PROYECCIONES!B:D,3,FALSE),0)),1 + COUNTIF($A$2:A70,"&gt;0"))</f>
        <v>0</v>
      </c>
      <c r="C71" s="52"/>
      <c r="D71" s="53"/>
      <c r="E71" s="53"/>
      <c r="F71" s="53"/>
      <c r="G71" s="53"/>
    </row>
    <row r="72" spans="1:7">
      <c r="A72">
        <f>IFERROR(IF(B72="",0,IF(VALUE(LEFT(B72,1))&gt;3,VLOOKUP(VALUE(B72),PROYECCIONES!B:D,3,FALSE),0)),1 + COUNTIF($A$2:A71,"&gt;0"))</f>
        <v>0</v>
      </c>
      <c r="C72" s="52"/>
      <c r="D72" s="53"/>
      <c r="E72" s="53"/>
      <c r="F72" s="53"/>
      <c r="G72" s="53"/>
    </row>
    <row r="73" spans="1:7">
      <c r="A73">
        <f>IFERROR(IF(B73="",0,IF(VALUE(LEFT(B73,1))&gt;3,VLOOKUP(VALUE(B73),PROYECCIONES!B:D,3,FALSE),0)),1 + COUNTIF($A$2:A72,"&gt;0"))</f>
        <v>0</v>
      </c>
      <c r="C73" s="52"/>
      <c r="D73" s="53"/>
      <c r="E73" s="53"/>
      <c r="F73" s="53"/>
      <c r="G73" s="53"/>
    </row>
    <row r="74" spans="1:7">
      <c r="A74">
        <f>IFERROR(IF(B74="",0,IF(VALUE(LEFT(B74,1))&gt;3,VLOOKUP(VALUE(B74),PROYECCIONES!B:D,3,FALSE),0)),1 + COUNTIF($A$2:A73,"&gt;0"))</f>
        <v>0</v>
      </c>
      <c r="C74" s="52"/>
      <c r="D74" s="53"/>
      <c r="E74" s="53"/>
      <c r="F74" s="53"/>
      <c r="G74" s="53"/>
    </row>
    <row r="75" spans="1:7">
      <c r="A75">
        <f>IFERROR(IF(B75="",0,IF(VALUE(LEFT(B75,1))&gt;3,VLOOKUP(VALUE(B75),PROYECCIONES!B:D,3,FALSE),0)),1 + COUNTIF($A$2:A74,"&gt;0"))</f>
        <v>0</v>
      </c>
      <c r="C75" s="52"/>
      <c r="D75" s="53"/>
      <c r="E75" s="53"/>
      <c r="F75" s="53"/>
      <c r="G75" s="53"/>
    </row>
    <row r="76" spans="1:7">
      <c r="A76">
        <f>IFERROR(IF(B76="",0,IF(VALUE(LEFT(B76,1))&gt;3,VLOOKUP(VALUE(B76),PROYECCIONES!B:D,3,FALSE),0)),1 + COUNTIF($A$2:A75,"&gt;0"))</f>
        <v>0</v>
      </c>
      <c r="C76" s="52"/>
      <c r="D76" s="53"/>
      <c r="E76" s="53"/>
      <c r="F76" s="53"/>
      <c r="G76" s="53"/>
    </row>
    <row r="77" spans="1:7">
      <c r="A77">
        <f>IFERROR(IF(B77="",0,IF(VALUE(LEFT(B77,1))&gt;3,VLOOKUP(VALUE(B77),PROYECCIONES!B:D,3,FALSE),0)),1 + COUNTIF($A$2:A76,"&gt;0"))</f>
        <v>0</v>
      </c>
      <c r="C77" s="52"/>
      <c r="D77" s="53"/>
      <c r="E77" s="53"/>
      <c r="F77" s="53"/>
      <c r="G77" s="53"/>
    </row>
    <row r="78" spans="1:7">
      <c r="A78">
        <f>IFERROR(IF(B78="",0,IF(VALUE(LEFT(B78,1))&gt;3,VLOOKUP(VALUE(B78),PROYECCIONES!B:D,3,FALSE),0)),1 + COUNTIF($A$2:A77,"&gt;0"))</f>
        <v>0</v>
      </c>
      <c r="C78" s="52"/>
      <c r="D78" s="53"/>
      <c r="E78" s="53"/>
      <c r="F78" s="53"/>
      <c r="G78" s="53"/>
    </row>
    <row r="79" spans="1:7">
      <c r="A79">
        <f>IFERROR(IF(B79="",0,IF(VALUE(LEFT(B79,1))&gt;3,VLOOKUP(VALUE(B79),PROYECCIONES!B:D,3,FALSE),0)),1 + COUNTIF($A$2:A78,"&gt;0"))</f>
        <v>0</v>
      </c>
      <c r="C79" s="52"/>
      <c r="D79" s="53"/>
      <c r="E79" s="53"/>
      <c r="F79" s="53"/>
      <c r="G79" s="53"/>
    </row>
    <row r="80" spans="1:7">
      <c r="A80">
        <f>IFERROR(IF(B80="",0,IF(VALUE(LEFT(B80,1))&gt;3,VLOOKUP(VALUE(B80),PROYECCIONES!B:D,3,FALSE),0)),1 + COUNTIF($A$2:A79,"&gt;0"))</f>
        <v>0</v>
      </c>
      <c r="C80" s="52"/>
      <c r="D80" s="53"/>
      <c r="E80" s="53"/>
      <c r="F80" s="53"/>
      <c r="G80" s="53"/>
    </row>
    <row r="81" spans="1:7">
      <c r="A81">
        <f>IFERROR(IF(B81="",0,IF(VALUE(LEFT(B81,1))&gt;3,VLOOKUP(VALUE(B81),PROYECCIONES!B:D,3,FALSE),0)),1 + COUNTIF($A$2:A80,"&gt;0"))</f>
        <v>0</v>
      </c>
      <c r="C81" s="52"/>
      <c r="D81" s="53"/>
      <c r="E81" s="53"/>
      <c r="F81" s="53"/>
      <c r="G81" s="53"/>
    </row>
    <row r="82" spans="1:7">
      <c r="A82">
        <f>IFERROR(IF(B82="",0,IF(VALUE(LEFT(B82,1))&gt;3,VLOOKUP(VALUE(B82),PROYECCIONES!B:D,3,FALSE),0)),1 + COUNTIF($A$2:A81,"&gt;0"))</f>
        <v>0</v>
      </c>
      <c r="C82" s="52"/>
      <c r="D82" s="53"/>
      <c r="E82" s="53"/>
      <c r="F82" s="53"/>
      <c r="G82" s="53"/>
    </row>
    <row r="83" spans="1:7">
      <c r="A83">
        <f>IFERROR(IF(B83="",0,IF(VALUE(LEFT(B83,1))&gt;3,VLOOKUP(VALUE(B83),PROYECCIONES!B:D,3,FALSE),0)),1 + COUNTIF($A$2:A82,"&gt;0"))</f>
        <v>0</v>
      </c>
      <c r="C83" s="52"/>
      <c r="D83" s="53"/>
      <c r="E83" s="53"/>
      <c r="F83" s="53"/>
      <c r="G83" s="53"/>
    </row>
    <row r="84" spans="1:7">
      <c r="A84">
        <f>IFERROR(IF(B84="",0,IF(VALUE(LEFT(B84,1))&gt;3,VLOOKUP(VALUE(B84),PROYECCIONES!B:D,3,FALSE),0)),1 + COUNTIF($A$2:A83,"&gt;0"))</f>
        <v>0</v>
      </c>
      <c r="C84" s="52"/>
      <c r="D84" s="53"/>
      <c r="E84" s="53"/>
      <c r="F84" s="53"/>
      <c r="G84" s="53"/>
    </row>
    <row r="85" spans="1:7">
      <c r="A85">
        <f>IFERROR(IF(B85="",0,IF(VALUE(LEFT(B85,1))&gt;3,VLOOKUP(VALUE(B85),PROYECCIONES!B:D,3,FALSE),0)),1 + COUNTIF($A$2:A84,"&gt;0"))</f>
        <v>0</v>
      </c>
      <c r="C85" s="52"/>
      <c r="D85" s="53"/>
      <c r="E85" s="53"/>
      <c r="F85" s="53"/>
      <c r="G85" s="53"/>
    </row>
    <row r="86" spans="1:7">
      <c r="A86">
        <f>IFERROR(IF(B86="",0,IF(VALUE(LEFT(B86,1))&gt;3,VLOOKUP(VALUE(B86),PROYECCIONES!B:D,3,FALSE),0)),1 + COUNTIF($A$2:A85,"&gt;0"))</f>
        <v>0</v>
      </c>
      <c r="C86" s="52"/>
      <c r="D86" s="53"/>
      <c r="E86" s="53"/>
      <c r="F86" s="53"/>
      <c r="G86" s="53"/>
    </row>
    <row r="87" spans="1:7">
      <c r="A87">
        <f>IFERROR(IF(B87="",0,IF(VALUE(LEFT(B87,1))&gt;3,VLOOKUP(VALUE(B87),PROYECCIONES!B:D,3,FALSE),0)),1 + COUNTIF($A$2:A86,"&gt;0"))</f>
        <v>0</v>
      </c>
      <c r="C87" s="52"/>
      <c r="D87" s="53"/>
      <c r="E87" s="53"/>
      <c r="F87" s="53"/>
      <c r="G87" s="53"/>
    </row>
    <row r="88" spans="1:7">
      <c r="A88">
        <f>IFERROR(IF(B88="",0,IF(VALUE(LEFT(B88,1))&gt;3,VLOOKUP(VALUE(B88),PROYECCIONES!B:D,3,FALSE),0)),1 + COUNTIF($A$2:A87,"&gt;0"))</f>
        <v>0</v>
      </c>
      <c r="C88" s="52"/>
      <c r="D88" s="53"/>
      <c r="E88" s="53"/>
      <c r="F88" s="53"/>
      <c r="G88" s="53"/>
    </row>
    <row r="89" spans="1:7">
      <c r="A89">
        <f>IFERROR(IF(B89="",0,IF(VALUE(LEFT(B89,1))&gt;3,VLOOKUP(VALUE(B89),PROYECCIONES!B:D,3,FALSE),0)),1 + COUNTIF($A$2:A88,"&gt;0"))</f>
        <v>0</v>
      </c>
      <c r="C89" s="52"/>
      <c r="D89" s="53"/>
      <c r="E89" s="53"/>
      <c r="F89" s="53"/>
      <c r="G89" s="53"/>
    </row>
    <row r="90" spans="1:7">
      <c r="A90">
        <f>IFERROR(IF(B90="",0,IF(VALUE(LEFT(B90,1))&gt;3,VLOOKUP(VALUE(B90),PROYECCIONES!B:D,3,FALSE),0)),1 + COUNTIF($A$2:A89,"&gt;0"))</f>
        <v>0</v>
      </c>
      <c r="C90" s="52"/>
      <c r="D90" s="53"/>
      <c r="E90" s="53"/>
      <c r="F90" s="53"/>
      <c r="G90" s="53"/>
    </row>
    <row r="91" spans="1:7">
      <c r="A91">
        <f>IFERROR(IF(B91="",0,IF(VALUE(LEFT(B91,1))&gt;3,VLOOKUP(VALUE(B91),PROYECCIONES!B:D,3,FALSE),0)),1 + COUNTIF($A$2:A90,"&gt;0"))</f>
        <v>0</v>
      </c>
      <c r="C91" s="52"/>
      <c r="D91" s="53"/>
      <c r="E91" s="53"/>
      <c r="F91" s="53"/>
      <c r="G91" s="53"/>
    </row>
    <row r="92" spans="1:7">
      <c r="A92">
        <f>IFERROR(IF(B92="",0,IF(VALUE(LEFT(B92,1))&gt;3,VLOOKUP(VALUE(B92),PROYECCIONES!B:D,3,FALSE),0)),1 + COUNTIF($A$2:A91,"&gt;0"))</f>
        <v>0</v>
      </c>
      <c r="C92" s="52"/>
      <c r="D92" s="53"/>
      <c r="E92" s="53"/>
      <c r="F92" s="53"/>
      <c r="G92" s="53"/>
    </row>
    <row r="93" spans="1:7">
      <c r="A93">
        <f>IFERROR(IF(B93="",0,IF(VALUE(LEFT(B93,1))&gt;3,VLOOKUP(VALUE(B93),PROYECCIONES!B:D,3,FALSE),0)),1 + COUNTIF($A$2:A92,"&gt;0"))</f>
        <v>0</v>
      </c>
      <c r="C93" s="52"/>
      <c r="D93" s="53"/>
      <c r="E93" s="53"/>
      <c r="F93" s="53"/>
      <c r="G93" s="53"/>
    </row>
    <row r="94" spans="1:7">
      <c r="A94">
        <f>IFERROR(IF(B94="",0,IF(VALUE(LEFT(B94,1))&gt;3,VLOOKUP(VALUE(B94),PROYECCIONES!B:D,3,FALSE),0)),1 + COUNTIF($A$2:A93,"&gt;0"))</f>
        <v>0</v>
      </c>
      <c r="C94" s="52"/>
      <c r="D94" s="53"/>
      <c r="E94" s="53"/>
      <c r="F94" s="53"/>
      <c r="G94" s="53"/>
    </row>
    <row r="95" spans="1:7">
      <c r="A95">
        <f>IFERROR(IF(B95="",0,IF(VALUE(LEFT(B95,1))&gt;3,VLOOKUP(VALUE(B95),PROYECCIONES!B:D,3,FALSE),0)),1 + COUNTIF($A$2:A94,"&gt;0"))</f>
        <v>0</v>
      </c>
      <c r="C95" s="52"/>
      <c r="D95" s="53"/>
      <c r="E95" s="53"/>
      <c r="F95" s="53"/>
      <c r="G95" s="53"/>
    </row>
    <row r="96" spans="1:7">
      <c r="A96">
        <f>IFERROR(IF(B96="",0,IF(VALUE(LEFT(B96,1))&gt;3,VLOOKUP(VALUE(B96),PROYECCIONES!B:D,3,FALSE),0)),1 + COUNTIF($A$2:A95,"&gt;0"))</f>
        <v>0</v>
      </c>
      <c r="C96" s="52"/>
      <c r="D96" s="53"/>
      <c r="E96" s="53"/>
      <c r="F96" s="53"/>
      <c r="G96" s="53"/>
    </row>
    <row r="97" spans="1:7">
      <c r="A97">
        <f>IFERROR(IF(B97="",0,IF(VALUE(LEFT(B97,1))&gt;3,VLOOKUP(VALUE(B97),PROYECCIONES!B:D,3,FALSE),0)),1 + COUNTIF($A$2:A96,"&gt;0"))</f>
        <v>0</v>
      </c>
      <c r="C97" s="52"/>
      <c r="D97" s="53"/>
      <c r="E97" s="53"/>
      <c r="F97" s="53"/>
      <c r="G97" s="53"/>
    </row>
    <row r="98" spans="1:7">
      <c r="A98">
        <f>IFERROR(IF(B98="",0,IF(VALUE(LEFT(B98,1))&gt;3,VLOOKUP(VALUE(B98),PROYECCIONES!B:D,3,FALSE),0)),1 + COUNTIF($A$2:A97,"&gt;0"))</f>
        <v>0</v>
      </c>
      <c r="C98" s="52"/>
      <c r="D98" s="53"/>
      <c r="E98" s="53"/>
      <c r="F98" s="53"/>
      <c r="G98" s="53"/>
    </row>
    <row r="99" spans="1:7">
      <c r="A99">
        <f>IFERROR(IF(B99="",0,IF(VALUE(LEFT(B99,1))&gt;3,VLOOKUP(VALUE(B99),PROYECCIONES!B:D,3,FALSE),0)),1 + COUNTIF($A$2:A98,"&gt;0"))</f>
        <v>0</v>
      </c>
      <c r="C99" s="52"/>
      <c r="D99" s="53"/>
      <c r="E99" s="53"/>
      <c r="F99" s="53"/>
      <c r="G99" s="53"/>
    </row>
    <row r="100" spans="1:7">
      <c r="A100">
        <f>IFERROR(IF(B100="",0,IF(VALUE(LEFT(B100,1))&gt;3,VLOOKUP(VALUE(B100),PROYECCIONES!B:D,3,FALSE),0)),1 + COUNTIF($A$2:A99,"&gt;0"))</f>
        <v>0</v>
      </c>
      <c r="C100" s="52"/>
      <c r="D100" s="53"/>
      <c r="E100" s="53"/>
      <c r="F100" s="53"/>
      <c r="G100" s="53"/>
    </row>
    <row r="101" spans="1:7">
      <c r="A101">
        <f>IFERROR(IF(B101="",0,IF(VALUE(LEFT(B101,1))&gt;3,VLOOKUP(VALUE(B101),PROYECCIONES!B:D,3,FALSE),0)),1 + COUNTIF($A$2:A100,"&gt;0"))</f>
        <v>0</v>
      </c>
      <c r="C101" s="52"/>
      <c r="D101" s="53"/>
      <c r="E101" s="53"/>
      <c r="F101" s="53"/>
      <c r="G101" s="53"/>
    </row>
    <row r="102" spans="1:7">
      <c r="A102">
        <f>IFERROR(IF(B102="",0,IF(VALUE(LEFT(B102,1))&gt;3,VLOOKUP(VALUE(B102),PROYECCIONES!B:D,3,FALSE),0)),1 + COUNTIF($A$2:A101,"&gt;0"))</f>
        <v>0</v>
      </c>
      <c r="C102" s="52"/>
      <c r="D102" s="53"/>
      <c r="E102" s="53"/>
      <c r="F102" s="53"/>
      <c r="G102" s="53"/>
    </row>
    <row r="103" spans="1:7">
      <c r="A103">
        <f>IFERROR(IF(B103="",0,IF(VALUE(LEFT(B103,1))&gt;3,VLOOKUP(VALUE(B103),PROYECCIONES!B:D,3,FALSE),0)),1 + COUNTIF($A$2:A102,"&gt;0"))</f>
        <v>0</v>
      </c>
      <c r="C103" s="52"/>
      <c r="D103" s="53"/>
      <c r="E103" s="53"/>
      <c r="F103" s="53"/>
      <c r="G103" s="53"/>
    </row>
    <row r="104" spans="1:7">
      <c r="A104">
        <f>IFERROR(IF(B104="",0,IF(VALUE(LEFT(B104,1))&gt;3,VLOOKUP(VALUE(B104),PROYECCIONES!B:D,3,FALSE),0)),1 + COUNTIF($A$2:A103,"&gt;0"))</f>
        <v>0</v>
      </c>
      <c r="C104" s="52"/>
      <c r="D104" s="53"/>
      <c r="E104" s="53"/>
      <c r="F104" s="53"/>
      <c r="G104" s="53"/>
    </row>
    <row r="105" spans="1:7">
      <c r="A105">
        <f>IFERROR(IF(B105="",0,IF(VALUE(LEFT(B105,1))&gt;3,VLOOKUP(VALUE(B105),PROYECCIONES!B:D,3,FALSE),0)),1 + COUNTIF($A$2:A104,"&gt;0"))</f>
        <v>0</v>
      </c>
      <c r="C105" s="52"/>
      <c r="D105" s="53"/>
      <c r="E105" s="53"/>
      <c r="F105" s="53"/>
      <c r="G105" s="53"/>
    </row>
    <row r="106" spans="1:7">
      <c r="A106">
        <f>IFERROR(IF(B106="",0,IF(VALUE(LEFT(B106,1))&gt;3,VLOOKUP(VALUE(B106),PROYECCIONES!B:D,3,FALSE),0)),1 + COUNTIF($A$2:A105,"&gt;0"))</f>
        <v>0</v>
      </c>
      <c r="C106" s="52"/>
      <c r="D106" s="53"/>
      <c r="E106" s="53"/>
      <c r="F106" s="53"/>
      <c r="G106" s="53"/>
    </row>
    <row r="107" spans="1:7">
      <c r="A107">
        <f>IFERROR(IF(B107="",0,IF(VALUE(LEFT(B107,1))&gt;3,VLOOKUP(VALUE(B107),PROYECCIONES!B:D,3,FALSE),0)),1 + COUNTIF($A$2:A106,"&gt;0"))</f>
        <v>0</v>
      </c>
      <c r="C107" s="52"/>
      <c r="D107" s="53"/>
      <c r="E107" s="53"/>
      <c r="F107" s="53"/>
      <c r="G107" s="53"/>
    </row>
    <row r="108" spans="1:7">
      <c r="A108">
        <f>IFERROR(IF(B108="",0,IF(VALUE(LEFT(B108,1))&gt;3,VLOOKUP(VALUE(B108),PROYECCIONES!B:D,3,FALSE),0)),1 + COUNTIF($A$2:A107,"&gt;0"))</f>
        <v>0</v>
      </c>
      <c r="C108" s="52"/>
      <c r="D108" s="53"/>
      <c r="E108" s="53"/>
      <c r="F108" s="53"/>
      <c r="G108" s="53"/>
    </row>
    <row r="109" spans="1:7">
      <c r="A109">
        <f>IFERROR(IF(B109="",0,IF(VALUE(LEFT(B109,1))&gt;3,VLOOKUP(VALUE(B109),PROYECCIONES!B:D,3,FALSE),0)),1 + COUNTIF($A$2:A108,"&gt;0"))</f>
        <v>0</v>
      </c>
      <c r="C109" s="52"/>
      <c r="D109" s="53"/>
      <c r="E109" s="53"/>
      <c r="F109" s="53"/>
      <c r="G109" s="53"/>
    </row>
    <row r="110" spans="1:7">
      <c r="A110">
        <f>IFERROR(IF(B110="",0,IF(VALUE(LEFT(B110,1))&gt;3,VLOOKUP(VALUE(B110),PROYECCIONES!B:D,3,FALSE),0)),1 + COUNTIF($A$2:A109,"&gt;0"))</f>
        <v>0</v>
      </c>
      <c r="C110" s="52"/>
      <c r="D110" s="53"/>
      <c r="E110" s="53"/>
      <c r="F110" s="53"/>
      <c r="G110" s="53"/>
    </row>
    <row r="111" spans="1:7">
      <c r="A111">
        <f>IFERROR(IF(B111="",0,IF(VALUE(LEFT(B111,1))&gt;3,VLOOKUP(VALUE(B111),PROYECCIONES!B:D,3,FALSE),0)),1 + COUNTIF($A$2:A110,"&gt;0"))</f>
        <v>0</v>
      </c>
      <c r="C111" s="52"/>
      <c r="D111" s="53"/>
      <c r="E111" s="53"/>
      <c r="F111" s="53"/>
      <c r="G111" s="53"/>
    </row>
    <row r="112" spans="1:7">
      <c r="A112">
        <f>IFERROR(IF(B112="",0,IF(VALUE(LEFT(B112,1))&gt;3,VLOOKUP(VALUE(B112),PROYECCIONES!B:D,3,FALSE),0)),1 + COUNTIF($A$2:A111,"&gt;0"))</f>
        <v>0</v>
      </c>
      <c r="C112" s="52"/>
      <c r="D112" s="53"/>
      <c r="E112" s="53"/>
      <c r="F112" s="53"/>
      <c r="G112" s="53"/>
    </row>
    <row r="113" spans="1:7">
      <c r="A113">
        <f>IFERROR(IF(B113="",0,IF(VALUE(LEFT(B113,1))&gt;3,VLOOKUP(VALUE(B113),PROYECCIONES!B:D,3,FALSE),0)),1 + COUNTIF($A$2:A112,"&gt;0"))</f>
        <v>0</v>
      </c>
      <c r="C113" s="52"/>
      <c r="D113" s="53"/>
      <c r="E113" s="53"/>
      <c r="F113" s="53"/>
      <c r="G113" s="53"/>
    </row>
    <row r="114" spans="1:7">
      <c r="A114">
        <f>IFERROR(IF(B114="",0,IF(VALUE(LEFT(B114,1))&gt;3,VLOOKUP(VALUE(B114),PROYECCIONES!B:D,3,FALSE),0)),1 + COUNTIF($A$2:A113,"&gt;0"))</f>
        <v>0</v>
      </c>
      <c r="C114" s="52"/>
      <c r="D114" s="53"/>
      <c r="E114" s="53"/>
      <c r="F114" s="53"/>
      <c r="G114" s="53"/>
    </row>
    <row r="115" spans="1:7">
      <c r="A115">
        <f>IFERROR(IF(B115="",0,IF(VALUE(LEFT(B115,1))&gt;3,VLOOKUP(VALUE(B115),PROYECCIONES!B:D,3,FALSE),0)),1 + COUNTIF($A$2:A114,"&gt;0"))</f>
        <v>0</v>
      </c>
      <c r="C115" s="52"/>
      <c r="D115" s="53"/>
      <c r="E115" s="53"/>
      <c r="F115" s="53"/>
      <c r="G115" s="53"/>
    </row>
    <row r="116" spans="1:7">
      <c r="A116">
        <f>IFERROR(IF(B116="",0,IF(VALUE(LEFT(B116,1))&gt;3,VLOOKUP(VALUE(B116),PROYECCIONES!B:D,3,FALSE),0)),1 + COUNTIF($A$2:A115,"&gt;0"))</f>
        <v>0</v>
      </c>
      <c r="C116" s="52"/>
      <c r="D116" s="53"/>
      <c r="E116" s="53"/>
      <c r="F116" s="53"/>
      <c r="G116" s="53"/>
    </row>
    <row r="117" spans="1:7">
      <c r="A117">
        <f>IFERROR(IF(B117="",0,IF(VALUE(LEFT(B117,1))&gt;3,VLOOKUP(VALUE(B117),PROYECCIONES!B:D,3,FALSE),0)),1 + COUNTIF($A$2:A116,"&gt;0"))</f>
        <v>0</v>
      </c>
      <c r="C117" s="52"/>
      <c r="D117" s="53"/>
      <c r="E117" s="53"/>
      <c r="F117" s="53"/>
      <c r="G117" s="53"/>
    </row>
    <row r="118" spans="1:7">
      <c r="A118">
        <f>IFERROR(IF(B118="",0,IF(VALUE(LEFT(B118,1))&gt;3,VLOOKUP(VALUE(B118),PROYECCIONES!B:D,3,FALSE),0)),1 + COUNTIF($A$2:A117,"&gt;0"))</f>
        <v>0</v>
      </c>
      <c r="C118" s="52"/>
      <c r="D118" s="53"/>
      <c r="E118" s="53"/>
      <c r="F118" s="53"/>
      <c r="G118" s="53"/>
    </row>
    <row r="119" spans="1:7">
      <c r="A119">
        <f>IFERROR(IF(B119="",0,IF(VALUE(LEFT(B119,1))&gt;3,VLOOKUP(VALUE(B119),PROYECCIONES!B:D,3,FALSE),0)),1 + COUNTIF($A$2:A118,"&gt;0"))</f>
        <v>0</v>
      </c>
      <c r="C119" s="52"/>
      <c r="D119" s="53"/>
      <c r="E119" s="53"/>
      <c r="F119" s="53"/>
      <c r="G119" s="53"/>
    </row>
    <row r="120" spans="1:7">
      <c r="A120">
        <f>IFERROR(IF(B120="",0,IF(VALUE(LEFT(B120,1))&gt;3,VLOOKUP(VALUE(B120),PROYECCIONES!B:D,3,FALSE),0)),1 + COUNTIF($A$2:A119,"&gt;0"))</f>
        <v>0</v>
      </c>
      <c r="C120" s="52"/>
      <c r="D120" s="53"/>
      <c r="E120" s="53"/>
      <c r="F120" s="53"/>
      <c r="G120" s="53"/>
    </row>
    <row r="121" spans="1:7">
      <c r="A121">
        <f>IFERROR(IF(B121="",0,IF(VALUE(LEFT(B121,1))&gt;3,VLOOKUP(VALUE(B121),PROYECCIONES!B:D,3,FALSE),0)),1 + COUNTIF($A$2:A120,"&gt;0"))</f>
        <v>0</v>
      </c>
      <c r="C121" s="52"/>
      <c r="D121" s="53"/>
      <c r="E121" s="53"/>
      <c r="F121" s="53"/>
      <c r="G121" s="53"/>
    </row>
    <row r="122" spans="1:7">
      <c r="A122">
        <f>IFERROR(IF(B122="",0,IF(VALUE(LEFT(B122,1))&gt;3,VLOOKUP(VALUE(B122),PROYECCIONES!B:D,3,FALSE),0)),1 + COUNTIF($A$2:A121,"&gt;0"))</f>
        <v>0</v>
      </c>
      <c r="C122" s="52"/>
      <c r="D122" s="53"/>
      <c r="E122" s="53"/>
      <c r="F122" s="53"/>
      <c r="G122" s="53"/>
    </row>
    <row r="123" spans="1:7">
      <c r="A123">
        <f>IFERROR(IF(B123="",0,IF(VALUE(LEFT(B123,1))&gt;3,VLOOKUP(VALUE(B123),PROYECCIONES!B:D,3,FALSE),0)),1 + COUNTIF($A$2:A122,"&gt;0"))</f>
        <v>0</v>
      </c>
      <c r="C123" s="52"/>
      <c r="D123" s="53"/>
      <c r="E123" s="53"/>
      <c r="F123" s="53"/>
      <c r="G123" s="53"/>
    </row>
    <row r="124" spans="1:7">
      <c r="A124">
        <f>IFERROR(IF(B124="",0,IF(VALUE(LEFT(B124,1))&gt;3,VLOOKUP(VALUE(B124),PROYECCIONES!B:D,3,FALSE),0)),1 + COUNTIF($A$2:A123,"&gt;0"))</f>
        <v>0</v>
      </c>
      <c r="C124" s="52"/>
      <c r="D124" s="53"/>
      <c r="E124" s="53"/>
      <c r="F124" s="53"/>
      <c r="G124" s="53"/>
    </row>
    <row r="125" spans="1:7">
      <c r="A125">
        <f>IFERROR(IF(B125="",0,IF(VALUE(LEFT(B125,1))&gt;3,VLOOKUP(VALUE(B125),PROYECCIONES!B:D,3,FALSE),0)),1 + COUNTIF($A$2:A124,"&gt;0"))</f>
        <v>0</v>
      </c>
      <c r="C125" s="52"/>
      <c r="D125" s="53"/>
      <c r="E125" s="53"/>
      <c r="F125" s="53"/>
      <c r="G125" s="53"/>
    </row>
    <row r="126" spans="1:7">
      <c r="A126">
        <f>IFERROR(IF(B126="",0,IF(VALUE(LEFT(B126,1))&gt;3,VLOOKUP(VALUE(B126),PROYECCIONES!B:D,3,FALSE),0)),1 + COUNTIF($A$2:A125,"&gt;0"))</f>
        <v>0</v>
      </c>
      <c r="C126" s="52"/>
      <c r="D126" s="53"/>
      <c r="E126" s="53"/>
      <c r="F126" s="53"/>
      <c r="G126" s="53"/>
    </row>
    <row r="127" spans="1:7">
      <c r="A127">
        <f>IFERROR(IF(B127="",0,IF(VALUE(LEFT(B127,1))&gt;3,VLOOKUP(VALUE(B127),PROYECCIONES!B:D,3,FALSE),0)),1 + COUNTIF($A$2:A126,"&gt;0"))</f>
        <v>0</v>
      </c>
      <c r="C127" s="52"/>
      <c r="D127" s="53"/>
      <c r="E127" s="53"/>
      <c r="F127" s="53"/>
      <c r="G127" s="53"/>
    </row>
    <row r="128" spans="1:7">
      <c r="A128">
        <f>IFERROR(IF(B128="",0,IF(VALUE(LEFT(B128,1))&gt;3,VLOOKUP(VALUE(B128),PROYECCIONES!B:D,3,FALSE),0)),1 + COUNTIF($A$2:A127,"&gt;0"))</f>
        <v>0</v>
      </c>
      <c r="C128" s="52"/>
      <c r="D128" s="53"/>
      <c r="E128" s="53"/>
      <c r="F128" s="53"/>
      <c r="G128" s="53"/>
    </row>
    <row r="129" spans="1:7">
      <c r="A129">
        <f>IFERROR(IF(B129="",0,IF(VALUE(LEFT(B129,1))&gt;3,VLOOKUP(VALUE(B129),PROYECCIONES!B:D,3,FALSE),0)),1 + COUNTIF($A$2:A128,"&gt;0"))</f>
        <v>0</v>
      </c>
      <c r="C129" s="52"/>
      <c r="D129" s="53"/>
      <c r="E129" s="53"/>
      <c r="F129" s="53"/>
      <c r="G129" s="53"/>
    </row>
    <row r="130" spans="1:7">
      <c r="A130">
        <f>IFERROR(IF(B130="",0,IF(VALUE(LEFT(B130,1))&gt;3,VLOOKUP(VALUE(B130),PROYECCIONES!B:D,3,FALSE),0)),1 + COUNTIF($A$2:A129,"&gt;0"))</f>
        <v>0</v>
      </c>
      <c r="C130" s="52"/>
      <c r="D130" s="53"/>
      <c r="E130" s="53"/>
      <c r="F130" s="53"/>
      <c r="G130" s="53"/>
    </row>
    <row r="131" spans="1:7">
      <c r="A131">
        <f>IFERROR(IF(B131="",0,IF(VALUE(LEFT(B131,1))&gt;3,VLOOKUP(VALUE(B131),PROYECCIONES!B:D,3,FALSE),0)),1 + COUNTIF($A$2:A130,"&gt;0"))</f>
        <v>0</v>
      </c>
      <c r="C131" s="52"/>
      <c r="D131" s="53"/>
      <c r="E131" s="53"/>
      <c r="F131" s="53"/>
      <c r="G131" s="53"/>
    </row>
    <row r="132" spans="1:7">
      <c r="A132">
        <f>IFERROR(IF(B132="",0,IF(VALUE(LEFT(B132,1))&gt;3,VLOOKUP(VALUE(B132),PROYECCIONES!B:D,3,FALSE),0)),1 + COUNTIF($A$2:A131,"&gt;0"))</f>
        <v>0</v>
      </c>
      <c r="C132" s="52"/>
      <c r="D132" s="53"/>
      <c r="E132" s="53"/>
      <c r="F132" s="53"/>
      <c r="G132" s="53"/>
    </row>
    <row r="133" spans="1:7">
      <c r="A133">
        <f>IFERROR(IF(B133="",0,IF(VALUE(LEFT(B133,1))&gt;3,VLOOKUP(VALUE(B133),PROYECCIONES!B:D,3,FALSE),0)),1 + COUNTIF($A$2:A132,"&gt;0"))</f>
        <v>0</v>
      </c>
      <c r="C133" s="52"/>
      <c r="D133" s="53"/>
      <c r="E133" s="53"/>
      <c r="F133" s="53"/>
      <c r="G133" s="53"/>
    </row>
    <row r="134" spans="1:7">
      <c r="A134">
        <f>IFERROR(IF(B134="",0,IF(VALUE(LEFT(B134,1))&gt;3,VLOOKUP(VALUE(B134),PROYECCIONES!B:D,3,FALSE),0)),1 + COUNTIF($A$2:A133,"&gt;0"))</f>
        <v>0</v>
      </c>
      <c r="C134" s="52"/>
      <c r="D134" s="53"/>
      <c r="E134" s="53"/>
      <c r="F134" s="53"/>
      <c r="G134" s="53"/>
    </row>
    <row r="135" spans="1:7">
      <c r="A135">
        <f>IFERROR(IF(B135="",0,IF(VALUE(LEFT(B135,1))&gt;3,VLOOKUP(VALUE(B135),PROYECCIONES!B:D,3,FALSE),0)),1 + COUNTIF($A$2:A134,"&gt;0"))</f>
        <v>0</v>
      </c>
      <c r="C135" s="52"/>
      <c r="D135" s="53"/>
      <c r="E135" s="53"/>
      <c r="F135" s="53"/>
      <c r="G135" s="53"/>
    </row>
    <row r="136" spans="1:7">
      <c r="A136">
        <f>IFERROR(IF(B136="",0,IF(VALUE(LEFT(B136,1))&gt;3,VLOOKUP(VALUE(B136),PROYECCIONES!B:D,3,FALSE),0)),1 + COUNTIF($A$2:A135,"&gt;0"))</f>
        <v>0</v>
      </c>
      <c r="C136" s="52"/>
      <c r="D136" s="53"/>
      <c r="E136" s="53"/>
      <c r="F136" s="53"/>
      <c r="G136" s="53"/>
    </row>
    <row r="137" spans="1:7">
      <c r="A137">
        <f>IFERROR(IF(B137="",0,IF(VALUE(LEFT(B137,1))&gt;3,VLOOKUP(VALUE(B137),PROYECCIONES!B:D,3,FALSE),0)),1 + COUNTIF($A$2:A136,"&gt;0"))</f>
        <v>0</v>
      </c>
      <c r="C137" s="52"/>
      <c r="D137" s="53"/>
      <c r="E137" s="53"/>
      <c r="F137" s="53"/>
      <c r="G137" s="53"/>
    </row>
    <row r="138" spans="1:7">
      <c r="A138">
        <f>IFERROR(IF(B138="",0,IF(VALUE(LEFT(B138,1))&gt;3,VLOOKUP(VALUE(B138),PROYECCIONES!B:D,3,FALSE),0)),1 + COUNTIF($A$2:A137,"&gt;0"))</f>
        <v>0</v>
      </c>
      <c r="C138" s="52"/>
      <c r="D138" s="53"/>
      <c r="E138" s="53"/>
      <c r="F138" s="53"/>
      <c r="G138" s="53"/>
    </row>
    <row r="139" spans="1:7">
      <c r="A139">
        <f>IFERROR(IF(B139="",0,IF(VALUE(LEFT(B139,1))&gt;3,VLOOKUP(VALUE(B139),PROYECCIONES!B:D,3,FALSE),0)),1 + COUNTIF($A$2:A138,"&gt;0"))</f>
        <v>0</v>
      </c>
      <c r="C139" s="52"/>
      <c r="D139" s="53"/>
      <c r="E139" s="53"/>
      <c r="F139" s="53"/>
      <c r="G139" s="53"/>
    </row>
    <row r="140" spans="1:7">
      <c r="A140">
        <f>IFERROR(IF(B140="",0,IF(VALUE(LEFT(B140,1))&gt;3,VLOOKUP(VALUE(B140),PROYECCIONES!B:D,3,FALSE),0)),1 + COUNTIF($A$2:A139,"&gt;0"))</f>
        <v>0</v>
      </c>
      <c r="C140" s="52"/>
      <c r="D140" s="53"/>
      <c r="E140" s="53"/>
      <c r="F140" s="53"/>
      <c r="G140" s="53"/>
    </row>
    <row r="141" spans="1:7">
      <c r="A141">
        <f>IFERROR(IF(B141="",0,IF(VALUE(LEFT(B141,1))&gt;3,VLOOKUP(VALUE(B141),PROYECCIONES!B:D,3,FALSE),0)),1 + COUNTIF($A$2:A140,"&gt;0"))</f>
        <v>0</v>
      </c>
      <c r="C141" s="52"/>
      <c r="D141" s="53"/>
      <c r="E141" s="53"/>
      <c r="F141" s="53"/>
      <c r="G141" s="53"/>
    </row>
    <row r="142" spans="1:7">
      <c r="A142">
        <f>IFERROR(IF(B142="",0,IF(VALUE(LEFT(B142,1))&gt;3,VLOOKUP(VALUE(B142),PROYECCIONES!B:D,3,FALSE),0)),1 + COUNTIF($A$2:A141,"&gt;0"))</f>
        <v>0</v>
      </c>
      <c r="C142" s="52"/>
      <c r="D142" s="53"/>
      <c r="E142" s="53"/>
      <c r="F142" s="53"/>
      <c r="G142" s="53"/>
    </row>
    <row r="143" spans="1:7">
      <c r="A143">
        <f>IFERROR(IF(B143="",0,IF(VALUE(LEFT(B143,1))&gt;3,VLOOKUP(VALUE(B143),PROYECCIONES!B:D,3,FALSE),0)),1 + COUNTIF($A$2:A142,"&gt;0"))</f>
        <v>0</v>
      </c>
      <c r="C143" s="52"/>
      <c r="D143" s="53"/>
      <c r="E143" s="53"/>
      <c r="F143" s="53"/>
      <c r="G143" s="53"/>
    </row>
    <row r="144" spans="1:7">
      <c r="A144">
        <f>IFERROR(IF(B144="",0,IF(VALUE(LEFT(B144,1))&gt;3,VLOOKUP(VALUE(B144),PROYECCIONES!B:D,3,FALSE),0)),1 + COUNTIF($A$2:A143,"&gt;0"))</f>
        <v>0</v>
      </c>
      <c r="C144" s="52"/>
      <c r="D144" s="53"/>
      <c r="E144" s="53"/>
      <c r="F144" s="53"/>
      <c r="G144" s="53"/>
    </row>
    <row r="145" spans="1:7">
      <c r="A145">
        <f>IFERROR(IF(B145="",0,IF(VALUE(LEFT(B145,1))&gt;3,VLOOKUP(VALUE(B145),PROYECCIONES!B:D,3,FALSE),0)),1 + COUNTIF($A$2:A144,"&gt;0"))</f>
        <v>0</v>
      </c>
      <c r="C145" s="52"/>
      <c r="D145" s="53"/>
      <c r="E145" s="53"/>
      <c r="F145" s="53"/>
      <c r="G145" s="53"/>
    </row>
    <row r="146" spans="1:7">
      <c r="A146">
        <f>IFERROR(IF(B146="",0,IF(VALUE(LEFT(B146,1))&gt;3,VLOOKUP(VALUE(B146),PROYECCIONES!B:D,3,FALSE),0)),1 + COUNTIF($A$2:A145,"&gt;0"))</f>
        <v>0</v>
      </c>
      <c r="C146" s="52"/>
      <c r="D146" s="53"/>
      <c r="E146" s="53"/>
      <c r="F146" s="53"/>
      <c r="G146" s="53"/>
    </row>
    <row r="147" spans="1:7">
      <c r="A147">
        <f>IFERROR(IF(B147="",0,IF(VALUE(LEFT(B147,1))&gt;3,VLOOKUP(VALUE(B147),PROYECCIONES!B:D,3,FALSE),0)),1 + COUNTIF($A$2:A146,"&gt;0"))</f>
        <v>0</v>
      </c>
      <c r="C147" s="52"/>
      <c r="D147" s="53"/>
      <c r="E147" s="53"/>
      <c r="F147" s="53"/>
      <c r="G147" s="53"/>
    </row>
    <row r="148" spans="1:7">
      <c r="A148">
        <f>IFERROR(IF(B148="",0,IF(VALUE(LEFT(B148,1))&gt;3,VLOOKUP(VALUE(B148),PROYECCIONES!B:D,3,FALSE),0)),1 + COUNTIF($A$2:A147,"&gt;0"))</f>
        <v>0</v>
      </c>
      <c r="C148" s="52"/>
      <c r="D148" s="53"/>
      <c r="E148" s="53"/>
      <c r="F148" s="53"/>
      <c r="G148" s="53"/>
    </row>
    <row r="149" spans="1:7">
      <c r="A149">
        <f>IFERROR(IF(B149="",0,IF(VALUE(LEFT(B149,1))&gt;3,VLOOKUP(VALUE(B149),PROYECCIONES!B:D,3,FALSE),0)),1 + COUNTIF($A$2:A148,"&gt;0"))</f>
        <v>0</v>
      </c>
      <c r="C149" s="52"/>
      <c r="D149" s="53"/>
      <c r="E149" s="53"/>
      <c r="F149" s="53"/>
      <c r="G149" s="53"/>
    </row>
    <row r="150" spans="1:7">
      <c r="A150">
        <f>IFERROR(IF(B150="",0,IF(VALUE(LEFT(B150,1))&gt;3,VLOOKUP(VALUE(B150),PROYECCIONES!B:D,3,FALSE),0)),1 + COUNTIF($A$2:A149,"&gt;0"))</f>
        <v>0</v>
      </c>
      <c r="C150" s="52"/>
      <c r="D150" s="53"/>
      <c r="E150" s="53"/>
      <c r="F150" s="53"/>
      <c r="G150" s="53"/>
    </row>
    <row r="151" spans="1:7">
      <c r="A151">
        <f>IFERROR(IF(B151="",0,IF(VALUE(LEFT(B151,1))&gt;3,VLOOKUP(VALUE(B151),PROYECCIONES!B:D,3,FALSE),0)),1 + COUNTIF($A$2:A150,"&gt;0"))</f>
        <v>0</v>
      </c>
      <c r="C151" s="52"/>
      <c r="D151" s="53"/>
      <c r="E151" s="53"/>
      <c r="F151" s="53"/>
      <c r="G151" s="53"/>
    </row>
    <row r="152" spans="1:7">
      <c r="A152">
        <f>IFERROR(IF(B152="",0,IF(VALUE(LEFT(B152,1))&gt;3,VLOOKUP(VALUE(B152),PROYECCIONES!B:D,3,FALSE),0)),1 + COUNTIF($A$2:A151,"&gt;0"))</f>
        <v>0</v>
      </c>
      <c r="C152" s="52"/>
      <c r="D152" s="53"/>
      <c r="E152" s="53"/>
      <c r="F152" s="53"/>
      <c r="G152" s="53"/>
    </row>
    <row r="153" spans="1:7">
      <c r="A153">
        <f>IFERROR(IF(B153="",0,IF(VALUE(LEFT(B153,1))&gt;3,VLOOKUP(VALUE(B153),PROYECCIONES!B:D,3,FALSE),0)),1 + COUNTIF($A$2:A152,"&gt;0"))</f>
        <v>0</v>
      </c>
      <c r="C153" s="52"/>
      <c r="D153" s="53"/>
      <c r="E153" s="53"/>
      <c r="F153" s="53"/>
      <c r="G153" s="53"/>
    </row>
    <row r="154" spans="1:7">
      <c r="A154">
        <f>IFERROR(IF(B154="",0,IF(VALUE(LEFT(B154,1))&gt;3,VLOOKUP(VALUE(B154),PROYECCIONES!B:D,3,FALSE),0)),1 + COUNTIF($A$2:A153,"&gt;0"))</f>
        <v>0</v>
      </c>
      <c r="C154" s="52"/>
      <c r="D154" s="53"/>
      <c r="E154" s="53"/>
      <c r="F154" s="53"/>
      <c r="G154" s="53"/>
    </row>
    <row r="155" spans="1:7">
      <c r="A155">
        <f>IFERROR(IF(B155="",0,IF(VALUE(LEFT(B155,1))&gt;3,VLOOKUP(VALUE(B155),PROYECCIONES!B:D,3,FALSE),0)),1 + COUNTIF($A$2:A154,"&gt;0"))</f>
        <v>0</v>
      </c>
      <c r="C155" s="52"/>
      <c r="D155" s="53"/>
      <c r="E155" s="53"/>
      <c r="F155" s="53"/>
      <c r="G155" s="53"/>
    </row>
    <row r="156" spans="1:7">
      <c r="A156">
        <f>IFERROR(IF(B156="",0,IF(VALUE(LEFT(B156,1))&gt;3,VLOOKUP(VALUE(B156),PROYECCIONES!B:D,3,FALSE),0)),1 + COUNTIF($A$2:A155,"&gt;0"))</f>
        <v>0</v>
      </c>
      <c r="C156" s="52"/>
      <c r="D156" s="53"/>
      <c r="E156" s="53"/>
      <c r="F156" s="53"/>
      <c r="G156" s="53"/>
    </row>
    <row r="157" spans="1:7">
      <c r="A157">
        <f>IFERROR(IF(B157="",0,IF(VALUE(LEFT(B157,1))&gt;3,VLOOKUP(VALUE(B157),PROYECCIONES!B:D,3,FALSE),0)),1 + COUNTIF($A$2:A156,"&gt;0"))</f>
        <v>0</v>
      </c>
      <c r="C157" s="52"/>
      <c r="D157" s="53"/>
      <c r="E157" s="53"/>
      <c r="F157" s="53"/>
      <c r="G157" s="53"/>
    </row>
    <row r="158" spans="1:7">
      <c r="A158">
        <f>IFERROR(IF(B158="",0,IF(VALUE(LEFT(B158,1))&gt;3,VLOOKUP(VALUE(B158),PROYECCIONES!B:D,3,FALSE),0)),1 + COUNTIF($A$2:A157,"&gt;0"))</f>
        <v>0</v>
      </c>
      <c r="C158" s="52"/>
      <c r="D158" s="53"/>
      <c r="E158" s="53"/>
      <c r="F158" s="53"/>
      <c r="G158" s="53"/>
    </row>
    <row r="159" spans="1:7">
      <c r="A159">
        <f>IFERROR(IF(B159="",0,IF(VALUE(LEFT(B159,1))&gt;3,VLOOKUP(VALUE(B159),PROYECCIONES!B:D,3,FALSE),0)),1 + COUNTIF($A$2:A158,"&gt;0"))</f>
        <v>0</v>
      </c>
      <c r="C159" s="52"/>
      <c r="D159" s="53"/>
      <c r="E159" s="53"/>
      <c r="F159" s="53"/>
      <c r="G159" s="53"/>
    </row>
    <row r="160" spans="1:7">
      <c r="A160">
        <f>IFERROR(IF(B160="",0,IF(VALUE(LEFT(B160,1))&gt;3,VLOOKUP(VALUE(B160),PROYECCIONES!B:D,3,FALSE),0)),1 + COUNTIF($A$2:A159,"&gt;0"))</f>
        <v>0</v>
      </c>
      <c r="C160" s="52"/>
      <c r="D160" s="53"/>
      <c r="E160" s="53"/>
      <c r="F160" s="53"/>
      <c r="G160" s="53"/>
    </row>
    <row r="161" spans="1:7">
      <c r="A161">
        <f>IFERROR(IF(B161="",0,IF(VALUE(LEFT(B161,1))&gt;3,VLOOKUP(VALUE(B161),PROYECCIONES!B:D,3,FALSE),0)),1 + COUNTIF($A$2:A160,"&gt;0"))</f>
        <v>0</v>
      </c>
      <c r="C161" s="52"/>
      <c r="D161" s="53"/>
      <c r="E161" s="53"/>
      <c r="F161" s="53"/>
      <c r="G161" s="53"/>
    </row>
    <row r="162" spans="1:7">
      <c r="A162">
        <f>IFERROR(IF(B162="",0,IF(VALUE(LEFT(B162,1))&gt;3,VLOOKUP(VALUE(B162),PROYECCIONES!B:D,3,FALSE),0)),1 + COUNTIF($A$2:A161,"&gt;0"))</f>
        <v>0</v>
      </c>
      <c r="C162" s="52"/>
      <c r="D162" s="53"/>
      <c r="E162" s="53"/>
      <c r="F162" s="53"/>
      <c r="G162" s="53"/>
    </row>
    <row r="163" spans="1:7">
      <c r="A163">
        <f>IFERROR(IF(B163="",0,IF(VALUE(LEFT(B163,1))&gt;3,VLOOKUP(VALUE(B163),PROYECCIONES!B:D,3,FALSE),0)),1 + COUNTIF($A$2:A162,"&gt;0"))</f>
        <v>0</v>
      </c>
      <c r="C163" s="52"/>
      <c r="D163" s="53"/>
      <c r="E163" s="53"/>
      <c r="F163" s="53"/>
      <c r="G163" s="53"/>
    </row>
    <row r="164" spans="1:7">
      <c r="A164">
        <f>IFERROR(IF(B164="",0,IF(VALUE(LEFT(B164,1))&gt;3,VLOOKUP(VALUE(B164),PROYECCIONES!B:D,3,FALSE),0)),1 + COUNTIF($A$2:A163,"&gt;0"))</f>
        <v>0</v>
      </c>
      <c r="C164" s="52"/>
      <c r="D164" s="53"/>
      <c r="E164" s="53"/>
      <c r="F164" s="53"/>
      <c r="G164" s="53"/>
    </row>
    <row r="165" spans="1:7">
      <c r="A165">
        <f>IFERROR(IF(B165="",0,IF(VALUE(LEFT(B165,1))&gt;3,VLOOKUP(VALUE(B165),PROYECCIONES!B:D,3,FALSE),0)),1 + COUNTIF($A$2:A164,"&gt;0"))</f>
        <v>0</v>
      </c>
      <c r="C165" s="52"/>
      <c r="D165" s="53"/>
      <c r="E165" s="53"/>
      <c r="F165" s="53"/>
      <c r="G165" s="53"/>
    </row>
    <row r="166" spans="1:7">
      <c r="A166">
        <f>IFERROR(IF(B166="",0,IF(VALUE(LEFT(B166,1))&gt;3,VLOOKUP(VALUE(B166),PROYECCIONES!B:D,3,FALSE),0)),1 + COUNTIF($A$2:A165,"&gt;0"))</f>
        <v>0</v>
      </c>
      <c r="C166" s="52"/>
      <c r="D166" s="53"/>
      <c r="E166" s="53"/>
      <c r="F166" s="53"/>
      <c r="G166" s="53"/>
    </row>
    <row r="167" spans="1:7">
      <c r="A167">
        <f>IFERROR(IF(B167="",0,IF(VALUE(LEFT(B167,1))&gt;3,VLOOKUP(VALUE(B167),PROYECCIONES!B:D,3,FALSE),0)),1 + COUNTIF($A$2:A166,"&gt;0"))</f>
        <v>0</v>
      </c>
      <c r="C167" s="52"/>
      <c r="D167" s="53"/>
      <c r="E167" s="53"/>
      <c r="F167" s="53"/>
      <c r="G167" s="53"/>
    </row>
    <row r="168" spans="1:7">
      <c r="A168">
        <f>IFERROR(IF(B168="",0,IF(VALUE(LEFT(B168,1))&gt;3,VLOOKUP(VALUE(B168),PROYECCIONES!B:D,3,FALSE),0)),1 + COUNTIF($A$2:A167,"&gt;0"))</f>
        <v>0</v>
      </c>
      <c r="C168" s="52"/>
      <c r="D168" s="53"/>
      <c r="E168" s="53"/>
      <c r="F168" s="53"/>
      <c r="G168" s="53"/>
    </row>
    <row r="169" spans="1:7">
      <c r="A169">
        <f>IFERROR(IF(B169="",0,IF(VALUE(LEFT(B169,1))&gt;3,VLOOKUP(VALUE(B169),PROYECCIONES!B:D,3,FALSE),0)),1 + COUNTIF($A$2:A168,"&gt;0"))</f>
        <v>0</v>
      </c>
      <c r="C169" s="52"/>
      <c r="D169" s="53"/>
      <c r="E169" s="53"/>
      <c r="F169" s="53"/>
      <c r="G169" s="53"/>
    </row>
    <row r="170" spans="1:7">
      <c r="A170">
        <f>IFERROR(IF(B170="",0,IF(VALUE(LEFT(B170,1))&gt;3,VLOOKUP(VALUE(B170),PROYECCIONES!B:D,3,FALSE),0)),1 + COUNTIF($A$2:A169,"&gt;0"))</f>
        <v>0</v>
      </c>
      <c r="C170" s="52"/>
      <c r="D170" s="53"/>
      <c r="E170" s="53"/>
      <c r="F170" s="53"/>
      <c r="G170" s="53"/>
    </row>
    <row r="171" spans="1:7">
      <c r="A171">
        <f>IFERROR(IF(B171="",0,IF(VALUE(LEFT(B171,1))&gt;3,VLOOKUP(VALUE(B171),PROYECCIONES!B:D,3,FALSE),0)),1 + COUNTIF($A$2:A170,"&gt;0"))</f>
        <v>0</v>
      </c>
      <c r="C171" s="52"/>
      <c r="D171" s="53"/>
      <c r="E171" s="53"/>
      <c r="F171" s="53"/>
      <c r="G171" s="53"/>
    </row>
    <row r="172" spans="1:7">
      <c r="A172">
        <f>IFERROR(IF(B172="",0,IF(VALUE(LEFT(B172,1))&gt;3,VLOOKUP(VALUE(B172),PROYECCIONES!B:D,3,FALSE),0)),1 + COUNTIF($A$2:A171,"&gt;0"))</f>
        <v>0</v>
      </c>
      <c r="C172" s="52"/>
      <c r="D172" s="53"/>
      <c r="E172" s="53"/>
      <c r="F172" s="53"/>
      <c r="G172" s="53"/>
    </row>
    <row r="173" spans="1:7">
      <c r="A173">
        <f>IFERROR(IF(B173="",0,IF(VALUE(LEFT(B173,1))&gt;3,VLOOKUP(VALUE(B173),PROYECCIONES!B:D,3,FALSE),0)),1 + COUNTIF($A$2:A172,"&gt;0"))</f>
        <v>0</v>
      </c>
      <c r="C173" s="52"/>
      <c r="D173" s="53"/>
      <c r="E173" s="53"/>
      <c r="F173" s="53"/>
      <c r="G173" s="53"/>
    </row>
    <row r="174" spans="1:7">
      <c r="A174">
        <f>IFERROR(IF(B174="",0,IF(VALUE(LEFT(B174,1))&gt;3,VLOOKUP(VALUE(B174),PROYECCIONES!B:D,3,FALSE),0)),1 + COUNTIF($A$2:A173,"&gt;0"))</f>
        <v>0</v>
      </c>
      <c r="C174" s="52"/>
      <c r="D174" s="53"/>
      <c r="E174" s="53"/>
      <c r="F174" s="53"/>
      <c r="G174" s="53"/>
    </row>
    <row r="175" spans="1:7">
      <c r="A175">
        <f>IFERROR(IF(B175="",0,IF(VALUE(LEFT(B175,1))&gt;3,VLOOKUP(VALUE(B175),PROYECCIONES!B:D,3,FALSE),0)),1 + COUNTIF($A$2:A174,"&gt;0"))</f>
        <v>0</v>
      </c>
      <c r="C175" s="52"/>
      <c r="D175" s="53"/>
      <c r="E175" s="53"/>
      <c r="F175" s="53"/>
      <c r="G175" s="53"/>
    </row>
    <row r="176" spans="1:7">
      <c r="A176">
        <f>IFERROR(IF(B176="",0,IF(VALUE(LEFT(B176,1))&gt;3,VLOOKUP(VALUE(B176),PROYECCIONES!B:D,3,FALSE),0)),1 + COUNTIF($A$2:A175,"&gt;0"))</f>
        <v>0</v>
      </c>
      <c r="C176" s="52"/>
      <c r="D176" s="53"/>
      <c r="E176" s="53"/>
      <c r="F176" s="53"/>
      <c r="G176" s="53"/>
    </row>
    <row r="177" spans="1:7">
      <c r="A177">
        <f>IFERROR(IF(B177="",0,IF(VALUE(LEFT(B177,1))&gt;3,VLOOKUP(VALUE(B177),PROYECCIONES!B:D,3,FALSE),0)),1 + COUNTIF($A$2:A176,"&gt;0"))</f>
        <v>0</v>
      </c>
      <c r="C177" s="52"/>
      <c r="D177" s="53"/>
      <c r="E177" s="53"/>
      <c r="F177" s="53"/>
      <c r="G177" s="53"/>
    </row>
    <row r="178" spans="1:7">
      <c r="A178">
        <f>IFERROR(IF(B178="",0,IF(VALUE(LEFT(B178,1))&gt;3,VLOOKUP(VALUE(B178),PROYECCIONES!B:D,3,FALSE),0)),1 + COUNTIF($A$2:A177,"&gt;0"))</f>
        <v>0</v>
      </c>
      <c r="C178" s="52"/>
      <c r="D178" s="53"/>
      <c r="E178" s="53"/>
      <c r="F178" s="53"/>
      <c r="G178" s="53"/>
    </row>
    <row r="179" spans="1:7">
      <c r="A179">
        <f>IFERROR(IF(B179="",0,IF(VALUE(LEFT(B179,1))&gt;3,VLOOKUP(VALUE(B179),PROYECCIONES!B:D,3,FALSE),0)),1 + COUNTIF($A$2:A178,"&gt;0"))</f>
        <v>0</v>
      </c>
      <c r="C179" s="52"/>
      <c r="D179" s="53"/>
      <c r="E179" s="53"/>
      <c r="F179" s="53"/>
      <c r="G179" s="53"/>
    </row>
    <row r="180" spans="1:7">
      <c r="A180">
        <f>IFERROR(IF(B180="",0,IF(VALUE(LEFT(B180,1))&gt;3,VLOOKUP(VALUE(B180),PROYECCIONES!B:D,3,FALSE),0)),1 + COUNTIF($A$2:A179,"&gt;0"))</f>
        <v>0</v>
      </c>
      <c r="C180" s="52"/>
      <c r="D180" s="53"/>
      <c r="E180" s="53"/>
      <c r="F180" s="53"/>
      <c r="G180" s="53"/>
    </row>
    <row r="181" spans="1:7">
      <c r="A181">
        <f>IFERROR(IF(B181="",0,IF(VALUE(LEFT(B181,1))&gt;3,VLOOKUP(VALUE(B181),PROYECCIONES!B:D,3,FALSE),0)),1 + COUNTIF($A$2:A180,"&gt;0"))</f>
        <v>0</v>
      </c>
      <c r="C181" s="52"/>
      <c r="D181" s="53"/>
      <c r="E181" s="53"/>
      <c r="F181" s="53"/>
      <c r="G181" s="53"/>
    </row>
    <row r="182" spans="1:7">
      <c r="A182">
        <f>IFERROR(IF(B182="",0,IF(VALUE(LEFT(B182,1))&gt;3,VLOOKUP(VALUE(B182),PROYECCIONES!B:D,3,FALSE),0)),1 + COUNTIF($A$2:A181,"&gt;0"))</f>
        <v>0</v>
      </c>
      <c r="C182" s="52"/>
      <c r="D182" s="53"/>
      <c r="E182" s="53"/>
      <c r="F182" s="53"/>
      <c r="G182" s="53"/>
    </row>
    <row r="183" spans="1:7">
      <c r="A183">
        <f>IFERROR(IF(B183="",0,IF(VALUE(LEFT(B183,1))&gt;3,VLOOKUP(VALUE(B183),PROYECCIONES!B:D,3,FALSE),0)),1 + COUNTIF($A$2:A182,"&gt;0"))</f>
        <v>0</v>
      </c>
      <c r="C183" s="52"/>
      <c r="D183" s="53"/>
      <c r="E183" s="53"/>
      <c r="F183" s="53"/>
      <c r="G183" s="53"/>
    </row>
    <row r="184" spans="1:7">
      <c r="A184">
        <f>IFERROR(IF(B184="",0,IF(VALUE(LEFT(B184,1))&gt;3,VLOOKUP(VALUE(B184),PROYECCIONES!B:D,3,FALSE),0)),1 + COUNTIF($A$2:A183,"&gt;0"))</f>
        <v>0</v>
      </c>
      <c r="C184" s="52"/>
      <c r="D184" s="53"/>
      <c r="E184" s="53"/>
      <c r="F184" s="53"/>
      <c r="G184" s="53"/>
    </row>
    <row r="185" spans="1:7">
      <c r="A185">
        <f>IFERROR(IF(B185="",0,IF(VALUE(LEFT(B185,1))&gt;3,VLOOKUP(VALUE(B185),PROYECCIONES!B:D,3,FALSE),0)),1 + COUNTIF($A$2:A184,"&gt;0"))</f>
        <v>0</v>
      </c>
      <c r="C185" s="52"/>
      <c r="D185" s="53"/>
      <c r="E185" s="53"/>
      <c r="F185" s="53"/>
      <c r="G185" s="53"/>
    </row>
    <row r="186" spans="1:7">
      <c r="A186">
        <f>IFERROR(IF(B186="",0,IF(VALUE(LEFT(B186,1))&gt;3,VLOOKUP(VALUE(B186),PROYECCIONES!B:D,3,FALSE),0)),1 + COUNTIF($A$2:A185,"&gt;0"))</f>
        <v>0</v>
      </c>
      <c r="C186" s="52"/>
      <c r="D186" s="53"/>
      <c r="E186" s="53"/>
      <c r="F186" s="53"/>
      <c r="G186" s="53"/>
    </row>
    <row r="187" spans="1:7">
      <c r="A187">
        <f>IFERROR(IF(B187="",0,IF(VALUE(LEFT(B187,1))&gt;3,VLOOKUP(VALUE(B187),PROYECCIONES!B:D,3,FALSE),0)),1 + COUNTIF($A$2:A186,"&gt;0"))</f>
        <v>0</v>
      </c>
      <c r="C187" s="52"/>
      <c r="D187" s="53"/>
      <c r="E187" s="53"/>
      <c r="F187" s="53"/>
      <c r="G187" s="53"/>
    </row>
    <row r="188" spans="1:7">
      <c r="A188">
        <f>IFERROR(IF(B188="",0,IF(VALUE(LEFT(B188,1))&gt;3,VLOOKUP(VALUE(B188),PROYECCIONES!B:D,3,FALSE),0)),1 + COUNTIF($A$2:A187,"&gt;0"))</f>
        <v>0</v>
      </c>
      <c r="C188" s="52"/>
      <c r="D188" s="53"/>
      <c r="E188" s="53"/>
      <c r="F188" s="53"/>
      <c r="G188" s="53"/>
    </row>
    <row r="189" spans="1:7">
      <c r="A189">
        <f>IFERROR(IF(B189="",0,IF(VALUE(LEFT(B189,1))&gt;3,VLOOKUP(VALUE(B189),PROYECCIONES!B:D,3,FALSE),0)),1 + COUNTIF($A$2:A188,"&gt;0"))</f>
        <v>0</v>
      </c>
      <c r="C189" s="52"/>
      <c r="D189" s="53"/>
      <c r="E189" s="53"/>
      <c r="F189" s="53"/>
      <c r="G189" s="53"/>
    </row>
    <row r="190" spans="1:7">
      <c r="A190">
        <f>IFERROR(IF(B190="",0,IF(VALUE(LEFT(B190,1))&gt;3,VLOOKUP(VALUE(B190),PROYECCIONES!B:D,3,FALSE),0)),1 + COUNTIF($A$2:A189,"&gt;0"))</f>
        <v>0</v>
      </c>
    </row>
    <row r="191" spans="1:7">
      <c r="A191">
        <f>IFERROR(IF(B191="",0,IF(VALUE(LEFT(B191,1))&gt;3,VLOOKUP(VALUE(B191),PROYECCIONES!B:D,3,FALSE),0)),1 + COUNTIF($A$2:A190,"&gt;0"))</f>
        <v>0</v>
      </c>
    </row>
    <row r="192" spans="1:7">
      <c r="A192">
        <f>IFERROR(IF(B192="",0,IF(VALUE(LEFT(B192,1))&gt;3,VLOOKUP(VALUE(B192),PROYECCIONES!B:D,3,FALSE),0)),1 + COUNTIF($A$2:A191,"&gt;0"))</f>
        <v>0</v>
      </c>
    </row>
    <row r="193" spans="1:1">
      <c r="A193">
        <f>IFERROR(IF(B193="",0,IF(VALUE(LEFT(B193,1))&gt;3,VLOOKUP(VALUE(B193),PROYECCIONES!B:D,3,FALSE),0)),1 + COUNTIF($A$2:A192,"&gt;0"))</f>
        <v>0</v>
      </c>
    </row>
    <row r="194" spans="1:1">
      <c r="A194">
        <f>IFERROR(IF(B194="",0,IF(VALUE(LEFT(B194,1))&gt;3,VLOOKUP(VALUE(B194),PROYECCIONES!B:D,3,FALSE),0)),1 + COUNTIF($A$2:A193,"&gt;0"))</f>
        <v>0</v>
      </c>
    </row>
    <row r="195" spans="1:1">
      <c r="A195">
        <f>IFERROR(IF(B195="",0,IF(VALUE(LEFT(B195,1))&gt;3,VLOOKUP(VALUE(B195),PROYECCIONES!B:D,3,FALSE),0)),1 + COUNTIF($A$2:A194,"&gt;0"))</f>
        <v>0</v>
      </c>
    </row>
    <row r="196" spans="1:1">
      <c r="A196">
        <f>IFERROR(IF(B196="",0,IF(VALUE(LEFT(B196,1))&gt;3,VLOOKUP(VALUE(B196),PROYECCIONES!B:D,3,FALSE),0)),1 + COUNTIF($A$2:A195,"&gt;0"))</f>
        <v>0</v>
      </c>
    </row>
    <row r="197" spans="1:1">
      <c r="A197">
        <f>IFERROR(IF(B197="",0,IF(VALUE(LEFT(B197,1))&gt;3,VLOOKUP(VALUE(B197),PROYECCIONES!B:D,3,FALSE),0)),1 + COUNTIF($A$2:A196,"&gt;0"))</f>
        <v>0</v>
      </c>
    </row>
    <row r="198" spans="1:1">
      <c r="A198">
        <f>IFERROR(IF(B198="",0,IF(VALUE(LEFT(B198,1))&gt;3,VLOOKUP(VALUE(B198),PROYECCIONES!B:D,3,FALSE),0)),1 + COUNTIF($A$2:A197,"&gt;0"))</f>
        <v>0</v>
      </c>
    </row>
    <row r="199" spans="1:1">
      <c r="A199">
        <f>IFERROR(IF(B199="",0,IF(VALUE(LEFT(B199,1))&gt;3,VLOOKUP(VALUE(B199),PROYECCIONES!B:D,3,FALSE),0)),1 + COUNTIF($A$2:A198,"&gt;0"))</f>
        <v>0</v>
      </c>
    </row>
    <row r="200" spans="1:1">
      <c r="A200">
        <f>IFERROR(IF(B200="",0,IF(VALUE(LEFT(B200,1))&gt;3,VLOOKUP(VALUE(B200),PROYECCIONES!B:D,3,FALSE),0)),1 + COUNTIF($A$2:A199,"&gt;0"))</f>
        <v>0</v>
      </c>
    </row>
    <row r="201" spans="1:1">
      <c r="A201">
        <f>IFERROR(IF(B201="",0,IF(VALUE(LEFT(B201,1))&gt;3,VLOOKUP(VALUE(B201),PROYECCIONES!B:D,3,FALSE),0)),1 + COUNTIF($A$2:A200,"&gt;0"))</f>
        <v>0</v>
      </c>
    </row>
    <row r="202" spans="1:1">
      <c r="A202">
        <f>IFERROR(IF(B202="",0,IF(VALUE(LEFT(B202,1))&gt;3,VLOOKUP(VALUE(B202),PROYECCIONES!B:D,3,FALSE),0)),1 + COUNTIF($A$2:A201,"&gt;0"))</f>
        <v>0</v>
      </c>
    </row>
    <row r="203" spans="1:1">
      <c r="A203">
        <f>IFERROR(IF(B203="",0,IF(VALUE(LEFT(B203,1))&gt;3,VLOOKUP(VALUE(B203),PROYECCIONES!B:D,3,FALSE),0)),1 + COUNTIF($A$2:A202,"&gt;0"))</f>
        <v>0</v>
      </c>
    </row>
    <row r="204" spans="1:1">
      <c r="A204">
        <f>IFERROR(IF(B204="",0,IF(VALUE(LEFT(B204,1))&gt;3,VLOOKUP(VALUE(B204),PROYECCIONES!B:D,3,FALSE),0)),1 + COUNTIF($A$2:A203,"&gt;0"))</f>
        <v>0</v>
      </c>
    </row>
    <row r="205" spans="1:1">
      <c r="A205">
        <f>IFERROR(IF(B205="",0,IF(VALUE(LEFT(B205,1))&gt;3,VLOOKUP(VALUE(B205),PROYECCIONES!B:D,3,FALSE),0)),1 + COUNTIF($A$2:A204,"&gt;0"))</f>
        <v>0</v>
      </c>
    </row>
    <row r="206" spans="1:1">
      <c r="A206">
        <f>IFERROR(IF(B206="",0,IF(VALUE(LEFT(B206,1))&gt;3,VLOOKUP(VALUE(B206),PROYECCIONES!B:D,3,FALSE),0)),1 + COUNTIF($A$2:A205,"&gt;0"))</f>
        <v>0</v>
      </c>
    </row>
    <row r="207" spans="1:1">
      <c r="A207">
        <f>IFERROR(IF(B207="",0,IF(VALUE(LEFT(B207,1))&gt;3,VLOOKUP(VALUE(B207),PROYECCIONES!B:D,3,FALSE),0)),1 + COUNTIF($A$2:A206,"&gt;0"))</f>
        <v>0</v>
      </c>
    </row>
    <row r="208" spans="1:1">
      <c r="A208">
        <f>IFERROR(IF(B208="",0,IF(VALUE(LEFT(B208,1))&gt;3,VLOOKUP(VALUE(B208),PROYECCIONES!B:D,3,FALSE),0)),1 + COUNTIF($A$2:A207,"&gt;0"))</f>
        <v>0</v>
      </c>
    </row>
    <row r="209" spans="1:1">
      <c r="A209">
        <f>IFERROR(IF(B209="",0,IF(VALUE(LEFT(B209,1))&gt;3,VLOOKUP(VALUE(B209),PROYECCIONES!B:D,3,FALSE),0)),1 + COUNTIF($A$2:A208,"&gt;0"))</f>
        <v>0</v>
      </c>
    </row>
    <row r="210" spans="1:1">
      <c r="A210">
        <f>IFERROR(IF(B210="",0,IF(VALUE(LEFT(B210,1))&gt;3,VLOOKUP(VALUE(B210),PROYECCIONES!B:D,3,FALSE),0)),1 + COUNTIF($A$2:A209,"&gt;0"))</f>
        <v>0</v>
      </c>
    </row>
    <row r="211" spans="1:1">
      <c r="A211">
        <f>IFERROR(IF(B211="",0,IF(VALUE(LEFT(B211,1))&gt;3,VLOOKUP(VALUE(B211),PROYECCIONES!B:D,3,FALSE),0)),1 + COUNTIF($A$2:A210,"&gt;0"))</f>
        <v>0</v>
      </c>
    </row>
    <row r="212" spans="1:1">
      <c r="A212">
        <f>IFERROR(IF(B212="",0,IF(VALUE(LEFT(B212,1))&gt;3,VLOOKUP(VALUE(B212),PROYECCIONES!B:D,3,FALSE),0)),1 + COUNTIF($A$2:A211,"&gt;0"))</f>
        <v>0</v>
      </c>
    </row>
    <row r="213" spans="1:1">
      <c r="A213">
        <f>IFERROR(IF(B213="",0,IF(VALUE(LEFT(B213,1))&gt;3,VLOOKUP(VALUE(B213),PROYECCIONES!B:D,3,FALSE),0)),1 + COUNTIF($A$2:A212,"&gt;0"))</f>
        <v>0</v>
      </c>
    </row>
    <row r="214" spans="1:1">
      <c r="A214">
        <f>IFERROR(IF(B214="",0,IF(VALUE(LEFT(B214,1))&gt;3,VLOOKUP(VALUE(B214),PROYECCIONES!B:D,3,FALSE),0)),1 + COUNTIF($A$2:A213,"&gt;0"))</f>
        <v>0</v>
      </c>
    </row>
    <row r="215" spans="1:1">
      <c r="A215">
        <f>IFERROR(IF(B215="",0,IF(VALUE(LEFT(B215,1))&gt;3,VLOOKUP(VALUE(B215),PROYECCIONES!B:D,3,FALSE),0)),1 + COUNTIF($A$2:A214,"&gt;0"))</f>
        <v>0</v>
      </c>
    </row>
    <row r="216" spans="1:1">
      <c r="A216">
        <f>IFERROR(IF(B216="",0,IF(VALUE(LEFT(B216,1))&gt;3,VLOOKUP(VALUE(B216),PROYECCIONES!B:D,3,FALSE),0)),1 + COUNTIF($A$2:A215,"&gt;0"))</f>
        <v>0</v>
      </c>
    </row>
    <row r="217" spans="1:1">
      <c r="A217">
        <f>IFERROR(IF(B217="",0,IF(VALUE(LEFT(B217,1))&gt;3,VLOOKUP(VALUE(B217),PROYECCIONES!B:D,3,FALSE),0)),1 + COUNTIF($A$2:A216,"&gt;0"))</f>
        <v>0</v>
      </c>
    </row>
    <row r="218" spans="1:1">
      <c r="A218">
        <f>IFERROR(IF(B218="",0,IF(VALUE(LEFT(B218,1))&gt;3,VLOOKUP(VALUE(B218),PROYECCIONES!B:D,3,FALSE),0)),1 + COUNTIF($A$2:A217,"&gt;0"))</f>
        <v>0</v>
      </c>
    </row>
    <row r="219" spans="1:1">
      <c r="A219">
        <f>IFERROR(IF(B219="",0,IF(VALUE(LEFT(B219,1))&gt;3,VLOOKUP(VALUE(B219),PROYECCIONES!B:D,3,FALSE),0)),1 + COUNTIF($A$2:A218,"&gt;0"))</f>
        <v>0</v>
      </c>
    </row>
    <row r="220" spans="1:1">
      <c r="A220">
        <f>IFERROR(IF(B220="",0,IF(VALUE(LEFT(B220,1))&gt;3,VLOOKUP(VALUE(B220),PROYECCIONES!B:D,3,FALSE),0)),1 + COUNTIF($A$2:A219,"&gt;0"))</f>
        <v>0</v>
      </c>
    </row>
    <row r="221" spans="1:1">
      <c r="A221">
        <f>IFERROR(IF(B221="",0,IF(VALUE(LEFT(B221,1))&gt;3,VLOOKUP(VALUE(B221),PROYECCIONES!B:D,3,FALSE),0)),1 + COUNTIF($A$2:A220,"&gt;0"))</f>
        <v>0</v>
      </c>
    </row>
    <row r="222" spans="1:1">
      <c r="A222">
        <f>IFERROR(IF(B222="",0,IF(VALUE(LEFT(B222,1))&gt;3,VLOOKUP(VALUE(B222),PROYECCIONES!B:D,3,FALSE),0)),1 + COUNTIF($A$2:A221,"&gt;0"))</f>
        <v>0</v>
      </c>
    </row>
    <row r="223" spans="1:1">
      <c r="A223">
        <f>IFERROR(IF(B223="",0,IF(VALUE(LEFT(B223,1))&gt;3,VLOOKUP(VALUE(B223),PROYECCIONES!B:D,3,FALSE),0)),1 + COUNTIF($A$2:A222,"&gt;0"))</f>
        <v>0</v>
      </c>
    </row>
    <row r="224" spans="1:1">
      <c r="A224">
        <f>IFERROR(IF(B224="",0,IF(VALUE(LEFT(B224,1))&gt;3,VLOOKUP(VALUE(B224),PROYECCIONES!B:D,3,FALSE),0)),1 + COUNTIF($A$2:A223,"&gt;0"))</f>
        <v>0</v>
      </c>
    </row>
    <row r="225" spans="1:1">
      <c r="A225">
        <f>IFERROR(IF(B225="",0,IF(VALUE(LEFT(B225,1))&gt;3,VLOOKUP(VALUE(B225),PROYECCIONES!B:D,3,FALSE),0)),1 + COUNTIF($A$2:A224,"&gt;0"))</f>
        <v>0</v>
      </c>
    </row>
    <row r="226" spans="1:1">
      <c r="A226">
        <f>IFERROR(IF(B226="",0,IF(VALUE(LEFT(B226,1))&gt;3,VLOOKUP(VALUE(B226),PROYECCIONES!B:D,3,FALSE),0)),1 + COUNTIF($A$2:A225,"&gt;0"))</f>
        <v>0</v>
      </c>
    </row>
    <row r="227" spans="1:1">
      <c r="A227">
        <f>IFERROR(IF(B227="",0,IF(VALUE(LEFT(B227,1))&gt;3,VLOOKUP(VALUE(B227),PROYECCIONES!B:D,3,FALSE),0)),1 + COUNTIF($A$2:A226,"&gt;0"))</f>
        <v>0</v>
      </c>
    </row>
    <row r="228" spans="1:1">
      <c r="A228">
        <f>IFERROR(IF(B228="",0,IF(VALUE(LEFT(B228,1))&gt;3,VLOOKUP(VALUE(B228),PROYECCIONES!B:D,3,FALSE),0)),1 + COUNTIF($A$2:A227,"&gt;0"))</f>
        <v>0</v>
      </c>
    </row>
    <row r="229" spans="1:1">
      <c r="A229">
        <f>IFERROR(IF(B229="",0,IF(VALUE(LEFT(B229,1))&gt;3,VLOOKUP(VALUE(B229),PROYECCIONES!B:D,3,FALSE),0)),1 + COUNTIF($A$2:A228,"&gt;0"))</f>
        <v>0</v>
      </c>
    </row>
    <row r="230" spans="1:1">
      <c r="A230">
        <f>IFERROR(IF(B230="",0,IF(VALUE(LEFT(B230,1))&gt;3,VLOOKUP(VALUE(B230),PROYECCIONES!B:D,3,FALSE),0)),1 + COUNTIF($A$2:A229,"&gt;0"))</f>
        <v>0</v>
      </c>
    </row>
    <row r="231" spans="1:1">
      <c r="A231">
        <f>IFERROR(IF(B231="",0,IF(VALUE(LEFT(B231,1))&gt;3,VLOOKUP(VALUE(B231),PROYECCIONES!B:D,3,FALSE),0)),1 + COUNTIF($A$2:A230,"&gt;0"))</f>
        <v>0</v>
      </c>
    </row>
    <row r="232" spans="1:1">
      <c r="A232">
        <f>IFERROR(IF(B232="",0,IF(VALUE(LEFT(B232,1))&gt;3,VLOOKUP(VALUE(B232),PROYECCIONES!B:D,3,FALSE),0)),1 + COUNTIF($A$2:A231,"&gt;0"))</f>
        <v>0</v>
      </c>
    </row>
    <row r="233" spans="1:1">
      <c r="A233">
        <f>IFERROR(IF(B233="",0,IF(VALUE(LEFT(B233,1))&gt;3,VLOOKUP(VALUE(B233),PROYECCIONES!B:D,3,FALSE),0)),1 + COUNTIF($A$2:A232,"&gt;0"))</f>
        <v>0</v>
      </c>
    </row>
    <row r="234" spans="1:1">
      <c r="A234">
        <f>IFERROR(IF(B234="",0,IF(VALUE(LEFT(B234,1))&gt;3,VLOOKUP(VALUE(B234),PROYECCIONES!B:D,3,FALSE),0)),1 + COUNTIF($A$2:A233,"&gt;0"))</f>
        <v>0</v>
      </c>
    </row>
    <row r="235" spans="1:1">
      <c r="A235">
        <f>IFERROR(IF(B235="",0,IF(VALUE(LEFT(B235,1))&gt;3,VLOOKUP(VALUE(B235),PROYECCIONES!B:D,3,FALSE),0)),1 + COUNTIF($A$2:A234,"&gt;0"))</f>
        <v>0</v>
      </c>
    </row>
    <row r="236" spans="1:1">
      <c r="A236">
        <f>IFERROR(IF(B236="",0,IF(VALUE(LEFT(B236,1))&gt;3,VLOOKUP(VALUE(B236),PROYECCIONES!B:D,3,FALSE),0)),1 + COUNTIF($A$2:A235,"&gt;0"))</f>
        <v>0</v>
      </c>
    </row>
    <row r="237" spans="1:1">
      <c r="A237">
        <f>IFERROR(IF(B237="",0,IF(VALUE(LEFT(B237,1))&gt;3,VLOOKUP(VALUE(B237),PROYECCIONES!B:D,3,FALSE),0)),1 + COUNTIF($A$2:A236,"&gt;0"))</f>
        <v>0</v>
      </c>
    </row>
    <row r="238" spans="1:1">
      <c r="A238">
        <f>IFERROR(IF(B238="",0,IF(VALUE(LEFT(B238,1))&gt;3,VLOOKUP(VALUE(B238),PROYECCIONES!B:D,3,FALSE),0)),1 + COUNTIF($A$2:A237,"&gt;0"))</f>
        <v>0</v>
      </c>
    </row>
    <row r="239" spans="1:1">
      <c r="A239">
        <f>IFERROR(IF(B239="",0,IF(VALUE(LEFT(B239,1))&gt;3,VLOOKUP(VALUE(B239),PROYECCIONES!B:D,3,FALSE),0)),1 + COUNTIF($A$2:A238,"&gt;0"))</f>
        <v>0</v>
      </c>
    </row>
    <row r="240" spans="1:1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autoFilter ref="A2:G2" xr:uid="{C9F88756-E717-4224-8BF2-7599DB1E5E13}"/>
  <mergeCells count="4">
    <mergeCell ref="D1:D2"/>
    <mergeCell ref="E1:F1"/>
    <mergeCell ref="G1:G2"/>
    <mergeCell ref="B1:C1"/>
  </mergeCells>
  <conditionalFormatting sqref="B190:B1048576">
    <cfRule type="expression" dxfId="4" priority="1">
      <formula>$A190="No Agregada"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93E0-FF2C-4852-9D0E-F3F42EA61C57}">
  <sheetPr codeName="Hoja11"/>
  <dimension ref="A1:M300"/>
  <sheetViews>
    <sheetView workbookViewId="0">
      <pane ySplit="2" topLeftCell="A3" activePane="bottomLeft" state="frozen"/>
      <selection activeCell="K13" sqref="K13"/>
      <selection pane="bottomLeft" activeCell="O13" sqref="O13"/>
    </sheetView>
  </sheetViews>
  <sheetFormatPr baseColWidth="10" defaultRowHeight="15"/>
  <cols>
    <col min="1" max="1" width="13.42578125" hidden="1" customWidth="1"/>
    <col min="2" max="2" width="11.42578125" style="52"/>
    <col min="3" max="3" width="39.28515625" customWidth="1"/>
    <col min="4" max="4" width="14.28515625" style="54" bestFit="1" customWidth="1"/>
    <col min="5" max="6" width="13.42578125" style="54" bestFit="1" customWidth="1"/>
    <col min="7" max="7" width="14.28515625" style="54" bestFit="1" customWidth="1"/>
    <col min="9" max="13" width="11.42578125" hidden="1" customWidth="1"/>
  </cols>
  <sheetData>
    <row r="1" spans="1:13">
      <c r="B1" s="284"/>
      <c r="C1" s="285"/>
      <c r="D1" s="286"/>
      <c r="E1" s="288"/>
      <c r="F1" s="289"/>
      <c r="G1" s="286"/>
    </row>
    <row r="2" spans="1:13">
      <c r="B2" s="51"/>
      <c r="C2" s="51"/>
      <c r="D2" s="287"/>
      <c r="E2" s="65"/>
      <c r="F2" s="65"/>
      <c r="G2" s="287"/>
    </row>
    <row r="3" spans="1:13">
      <c r="A3">
        <f>IFERROR(IF(B3="",0,IF(VALUE(LEFT(B3,1))&gt;3,VLOOKUP(VALUE(B3),PROYECCIONES!B:D,3,FALSE),0)),1 + COUNTIF($A$2:A2,"&gt;0"))</f>
        <v>0</v>
      </c>
      <c r="C3" s="52"/>
      <c r="D3" s="53"/>
      <c r="E3" s="53"/>
      <c r="F3" s="53"/>
      <c r="G3" s="53"/>
      <c r="I3">
        <f>COUNTIF(A3:A300,"&gt;0")</f>
        <v>0</v>
      </c>
      <c r="J3" t="s">
        <v>3</v>
      </c>
      <c r="K3" t="s">
        <v>223</v>
      </c>
      <c r="L3" t="s">
        <v>224</v>
      </c>
    </row>
    <row r="4" spans="1:13">
      <c r="A4">
        <f>IFERROR(IF(B4="",0,IF(VALUE(LEFT(B4,1))&gt;3,VLOOKUP(VALUE(B4),PROYECCIONES!B:D,3,FALSE),0)),1 + COUNTIF($A$2:A3,"&gt;0"))</f>
        <v>0</v>
      </c>
      <c r="C4" s="52"/>
      <c r="D4" s="53"/>
      <c r="E4" s="53"/>
      <c r="F4" s="53"/>
      <c r="G4" s="53"/>
      <c r="I4" s="123">
        <v>1</v>
      </c>
      <c r="J4" t="str">
        <f>IFERROR(VLOOKUP(I4,'Balance a Oct'!$A$3:$C$300,2,FALSE),"")</f>
        <v/>
      </c>
      <c r="K4" t="str">
        <f>IFERROR(VLOOKUP(I4,'Balance a Oct'!$A$3:$C$300,3,FALSE),"")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</row>
    <row r="5" spans="1:13">
      <c r="A5">
        <f>IFERROR(IF(B5="",0,IF(VALUE(LEFT(B5,1))&gt;3,VLOOKUP(VALUE(B5),PROYECCIONES!B:D,3,FALSE),0)),1 + COUNTIF($A$2:A4,"&gt;0"))</f>
        <v>0</v>
      </c>
      <c r="C5" s="52"/>
      <c r="D5" s="53"/>
      <c r="E5" s="53"/>
      <c r="F5" s="53"/>
      <c r="G5" s="53"/>
      <c r="I5" s="123">
        <v>2</v>
      </c>
      <c r="J5" t="str">
        <f>IFERROR(VLOOKUP(I5,'Balance a Oct'!$A$3:$C$300,2,FALSE),"")</f>
        <v/>
      </c>
      <c r="K5" t="str">
        <f>IFERROR(VLOOKUP(I5,'Balance a Oct'!$A$3:$C$300,3,FALSE),"")</f>
        <v/>
      </c>
      <c r="L5" t="str">
        <f>IFERROR(IF(AND(VALUE(LEFT(J5,1))&gt;=6,VALUE(LEFT(J5,1))&lt;=7),_xlfn.XMATCH(VALUE(J5),PROYECCIONES!$B$1:$B$38,-1,1),_xlfn.XMATCH(VALUE(J5),PROYECCIONES!$B$1:$B$333,-1,1)),"")</f>
        <v/>
      </c>
    </row>
    <row r="6" spans="1:13">
      <c r="A6">
        <f>IFERROR(IF(B6="",0,IF(VALUE(LEFT(B6,1))&gt;3,VLOOKUP(VALUE(B6),PROYECCIONES!B:D,3,FALSE),0)),1 + COUNTIF($A$2:A5,"&gt;0"))</f>
        <v>0</v>
      </c>
      <c r="C6" s="52"/>
      <c r="D6" s="53"/>
      <c r="E6" s="53"/>
      <c r="F6" s="53"/>
      <c r="G6" s="53"/>
      <c r="I6" s="123">
        <v>3</v>
      </c>
      <c r="J6" t="str">
        <f>IFERROR(VLOOKUP(I6,'Balance a Oct'!$A$3:$C$300,2,FALSE),"")</f>
        <v/>
      </c>
      <c r="K6" t="str">
        <f>IFERROR(VLOOKUP(I6,'Balance a Oct'!$A$3:$C$300,3,FALSE),"")</f>
        <v/>
      </c>
      <c r="L6" t="str">
        <f>IFERROR(IF(AND(VALUE(LEFT(J6,1))&gt;=6,VALUE(LEFT(J6,1))&lt;=7),_xlfn.XMATCH(VALUE(J6),PROYECCIONES!$B$1:$B$38,-1,1),_xlfn.XMATCH(VALUE(J6),PROYECCIONES!$B$1:$B$333,-1,1)),"")</f>
        <v/>
      </c>
    </row>
    <row r="7" spans="1:13">
      <c r="A7">
        <f>IFERROR(IF(B7="",0,IF(VALUE(LEFT(B7,1))&gt;3,VLOOKUP(VALUE(B7),PROYECCIONES!B:D,3,FALSE),0)),1 + COUNTIF($A$2:A6,"&gt;0"))</f>
        <v>0</v>
      </c>
      <c r="C7" s="52"/>
      <c r="D7" s="53"/>
      <c r="E7" s="53"/>
      <c r="F7" s="53"/>
      <c r="G7" s="53"/>
      <c r="I7" s="123">
        <v>4</v>
      </c>
      <c r="J7" t="str">
        <f>IFERROR(VLOOKUP(I7,'Balance a Oct'!$A$3:$C$300,2,FALSE),"")</f>
        <v/>
      </c>
      <c r="K7" t="str">
        <f>IFERROR(VLOOKUP(I7,'Balance a Oct'!$A$3:$C$300,3,FALSE),"")</f>
        <v/>
      </c>
      <c r="L7" t="str">
        <f>IFERROR(IF(AND(VALUE(LEFT(J7,1))&gt;=6,VALUE(LEFT(J7,1))&lt;=7),_xlfn.XMATCH(VALUE(J7),PROYECCIONES!$B$1:$B$38,-1,1),_xlfn.XMATCH(VALUE(J7),PROYECCIONES!$B$1:$B$333,-1,1)),"")</f>
        <v/>
      </c>
    </row>
    <row r="8" spans="1:13">
      <c r="A8">
        <f>IFERROR(IF(B8="",0,IF(VALUE(LEFT(B8,1))&gt;3,VLOOKUP(VALUE(B8),PROYECCIONES!B:D,3,FALSE),0)),1 + COUNTIF($A$2:A7,"&gt;0"))</f>
        <v>0</v>
      </c>
      <c r="C8" s="52"/>
      <c r="D8" s="53"/>
      <c r="E8" s="53"/>
      <c r="F8" s="53"/>
      <c r="G8" s="53"/>
      <c r="I8" s="123">
        <v>5</v>
      </c>
      <c r="J8" t="str">
        <f>IFERROR(VLOOKUP(I8,'Balance a Oct'!$A$3:$C$300,2,FALSE),"")</f>
        <v/>
      </c>
      <c r="K8" t="str">
        <f>IFERROR(VLOOKUP(I8,'Balance a Oct'!$A$3:$C$300,3,FALSE),"")</f>
        <v/>
      </c>
      <c r="L8" t="str">
        <f>IFERROR(IF(AND(VALUE(LEFT(J8,1))&gt;=6,VALUE(LEFT(J8,1))&lt;=7),_xlfn.XMATCH(VALUE(J8),PROYECCIONES!$B$1:$B$38,-1,1),_xlfn.XMATCH(VALUE(J8),PROYECCIONES!$B$1:$B$333,-1,1)),"")</f>
        <v/>
      </c>
    </row>
    <row r="9" spans="1:13">
      <c r="A9">
        <f>IFERROR(IF(B9="",0,IF(VALUE(LEFT(B9,1))&gt;3,VLOOKUP(VALUE(B9),PROYECCIONES!B:D,3,FALSE),0)),1 + COUNTIF($A$2:A8,"&gt;0"))</f>
        <v>0</v>
      </c>
      <c r="C9" s="52"/>
      <c r="D9" s="53"/>
      <c r="E9" s="53"/>
      <c r="F9" s="53"/>
      <c r="G9" s="53"/>
      <c r="I9" s="123">
        <v>6</v>
      </c>
      <c r="J9" t="str">
        <f>IFERROR(VLOOKUP(I9,'Balance a Oct'!$A$3:$C$300,2,FALSE),"")</f>
        <v/>
      </c>
      <c r="K9" t="str">
        <f>IFERROR(VLOOKUP(I9,'Balance a Oct'!$A$3:$C$300,3,FALSE),"")</f>
        <v/>
      </c>
      <c r="L9" t="str">
        <f>IFERROR(IF(AND(VALUE(LEFT(J9,1))&gt;=6,VALUE(LEFT(J9,1))&lt;=7),_xlfn.XMATCH(VALUE(J9),PROYECCIONES!$B$1:$B$38,-1,1),_xlfn.XMATCH(VALUE(J9),PROYECCIONES!$B$1:$B$333,-1,1)),"")</f>
        <v/>
      </c>
    </row>
    <row r="10" spans="1:13">
      <c r="A10">
        <f>IFERROR(IF(B10="",0,IF(VALUE(LEFT(B10,1))&gt;3,VLOOKUP(VALUE(B10),PROYECCIONES!B:D,3,FALSE),0)),1 + COUNTIF($A$2:A9,"&gt;0"))</f>
        <v>0</v>
      </c>
      <c r="C10" s="52"/>
      <c r="D10" s="53"/>
      <c r="E10" s="53"/>
      <c r="F10" s="53"/>
      <c r="G10" s="53"/>
      <c r="I10" s="123">
        <v>7</v>
      </c>
      <c r="J10" t="str">
        <f>IFERROR(VLOOKUP(I10,'Balance a Oct'!$A$3:$C$300,2,FALSE),"")</f>
        <v/>
      </c>
      <c r="K10" t="str">
        <f>IFERROR(VLOOKUP(I10,'Balance a Oct'!$A$3:$C$300,3,FALSE),"")</f>
        <v/>
      </c>
      <c r="L10" t="str">
        <f>IFERROR(IF(AND(VALUE(LEFT(J10,1))&gt;=6,VALUE(LEFT(J10,1))&lt;=7),_xlfn.XMATCH(VALUE(J10),PROYECCIONES!$B$1:$B$38,-1,1),_xlfn.XMATCH(VALUE(J10),PROYECCIONES!$B$1:$B$333,-1,1)),"")</f>
        <v/>
      </c>
    </row>
    <row r="11" spans="1:13">
      <c r="A11">
        <f>IFERROR(IF(B11="",0,IF(VALUE(LEFT(B11,1))&gt;3,VLOOKUP(VALUE(B11),PROYECCIONES!B:D,3,FALSE),0)),1 + COUNTIF($A$2:A10,"&gt;0"))</f>
        <v>0</v>
      </c>
      <c r="C11" s="52"/>
      <c r="D11" s="53"/>
      <c r="E11" s="53"/>
      <c r="F11" s="53"/>
      <c r="G11" s="53"/>
      <c r="I11" s="123">
        <v>8</v>
      </c>
      <c r="J11" t="str">
        <f>IFERROR(VLOOKUP(I11,'Balance a Oct'!$A$3:$C$300,2,FALSE),"")</f>
        <v/>
      </c>
      <c r="K11" t="str">
        <f>IFERROR(VLOOKUP(I11,'Balance a Oct'!$A$3:$C$300,3,FALSE),"")</f>
        <v/>
      </c>
      <c r="L11" t="str">
        <f>IFERROR(IF(AND(VALUE(LEFT(J11,1))&gt;=6,VALUE(LEFT(J11,1))&lt;=7),_xlfn.XMATCH(VALUE(J11),PROYECCIONES!$B$1:$B$38,-1,1),_xlfn.XMATCH(VALUE(J11),PROYECCIONES!$B$1:$B$333,-1,1)),"")</f>
        <v/>
      </c>
    </row>
    <row r="12" spans="1:13">
      <c r="A12">
        <f>IFERROR(IF(B12="",0,IF(VALUE(LEFT(B12,1))&gt;3,VLOOKUP(VALUE(B12),PROYECCIONES!B:D,3,FALSE),0)),1 + COUNTIF($A$2:A11,"&gt;0"))</f>
        <v>0</v>
      </c>
      <c r="C12" s="52"/>
      <c r="D12" s="53"/>
      <c r="E12" s="53"/>
      <c r="F12" s="53"/>
      <c r="G12" s="53"/>
      <c r="I12" s="123">
        <v>9</v>
      </c>
      <c r="J12" t="str">
        <f>IFERROR(VLOOKUP(I12,'Balance a Oct'!$A$3:$C$300,2,FALSE),"")</f>
        <v/>
      </c>
      <c r="K12" t="str">
        <f>IFERROR(VLOOKUP(I12,'Balance a Oct'!$A$3:$C$300,3,FALSE),"")</f>
        <v/>
      </c>
      <c r="L12" t="str">
        <f>IFERROR(IF(AND(VALUE(LEFT(J12,1))&gt;=6,VALUE(LEFT(J12,1))&lt;=7),_xlfn.XMATCH(VALUE(J12),PROYECCIONES!$B$1:$B$38,-1,1),_xlfn.XMATCH(VALUE(J12),PROYECCIONES!$B$1:$B$333,-1,1)),"")</f>
        <v/>
      </c>
    </row>
    <row r="13" spans="1:13">
      <c r="A13">
        <f>IFERROR(IF(B13="",0,IF(VALUE(LEFT(B13,1))&gt;3,VLOOKUP(VALUE(B13),PROYECCIONES!B:D,3,FALSE),0)),1 + COUNTIF($A$2:A12,"&gt;0"))</f>
        <v>0</v>
      </c>
      <c r="C13" s="52"/>
      <c r="D13" s="53"/>
      <c r="E13" s="53"/>
      <c r="F13" s="53"/>
      <c r="G13" s="53"/>
      <c r="I13" s="123">
        <v>10</v>
      </c>
      <c r="J13" t="str">
        <f>IFERROR(VLOOKUP(I13,'Balance a Oct'!$A$3:$C$300,2,FALSE),"")</f>
        <v/>
      </c>
      <c r="K13" t="str">
        <f>IFERROR(VLOOKUP(I13,'Balance a Oct'!$A$3:$C$300,3,FALSE),"")</f>
        <v/>
      </c>
      <c r="L13" t="str">
        <f>IFERROR(IF(AND(VALUE(LEFT(J13,1))&gt;=6,VALUE(LEFT(J13,1))&lt;=7),_xlfn.XMATCH(VALUE(J13),PROYECCIONES!$B$1:$B$38,-1,1),_xlfn.XMATCH(VALUE(J13),PROYECCIONES!$B$1:$B$333,-1,1)),"")</f>
        <v/>
      </c>
    </row>
    <row r="14" spans="1:13">
      <c r="A14">
        <f>IFERROR(IF(B14="",0,IF(VALUE(LEFT(B14,1))&gt;3,VLOOKUP(VALUE(B14),PROYECCIONES!B:D,3,FALSE),0)),1 + COUNTIF($A$2:A13,"&gt;0"))</f>
        <v>0</v>
      </c>
      <c r="C14" s="52"/>
      <c r="D14" s="53"/>
      <c r="E14" s="53"/>
      <c r="F14" s="53"/>
      <c r="G14" s="53"/>
      <c r="I14" s="123">
        <v>11</v>
      </c>
      <c r="J14" t="str">
        <f>IFERROR(VLOOKUP(I14,'Balance a Oct'!$A$3:$C$300,2,FALSE),"")</f>
        <v/>
      </c>
      <c r="K14" t="str">
        <f>IFERROR(VLOOKUP(I14,'Balance a Oct'!$A$3:$C$300,3,FALSE),"")</f>
        <v/>
      </c>
      <c r="L14" t="str">
        <f>IFERROR(IF(AND(VALUE(LEFT(J14,1))&gt;=6,VALUE(LEFT(J14,1))&lt;=7),_xlfn.XMATCH(VALUE(J14),PROYECCIONES!$B$1:$B$38,-1,1),_xlfn.XMATCH(VALUE(J14),PROYECCIONES!$B$1:$B$333,-1,1)),"")</f>
        <v/>
      </c>
    </row>
    <row r="15" spans="1:13">
      <c r="A15">
        <f>IFERROR(IF(B15="",0,IF(VALUE(LEFT(B15,1))&gt;3,VLOOKUP(VALUE(B15),PROYECCIONES!B:D,3,FALSE),0)),1 + COUNTIF($A$2:A14,"&gt;0"))</f>
        <v>0</v>
      </c>
      <c r="C15" s="52"/>
      <c r="D15" s="53"/>
      <c r="E15" s="53"/>
      <c r="F15" s="53"/>
      <c r="G15" s="53"/>
      <c r="I15" s="123">
        <v>12</v>
      </c>
      <c r="J15" t="str">
        <f>IFERROR(VLOOKUP(I15,'Balance a Oct'!$A$3:$C$300,2,FALSE),"")</f>
        <v/>
      </c>
      <c r="K15" t="str">
        <f>IFERROR(VLOOKUP(I15,'Balance a Oct'!$A$3:$C$300,3,FALSE),"")</f>
        <v/>
      </c>
      <c r="L15" t="str">
        <f>IFERROR(IF(AND(VALUE(LEFT(J15,1))&gt;=6,VALUE(LEFT(J15,1))&lt;=7),_xlfn.XMATCH(VALUE(J15),PROYECCIONES!$B$1:$B$38,-1,1),_xlfn.XMATCH(VALUE(J15),PROYECCIONES!$B$1:$B$333,-1,1)),"")</f>
        <v/>
      </c>
    </row>
    <row r="16" spans="1:13">
      <c r="A16">
        <f>IFERROR(IF(B16="",0,IF(VALUE(LEFT(B16,1))&gt;3,VLOOKUP(VALUE(B16),PROYECCIONES!B:D,3,FALSE),0)),1 + COUNTIF($A$2:A15,"&gt;0"))</f>
        <v>0</v>
      </c>
      <c r="C16" s="52"/>
      <c r="D16" s="53"/>
      <c r="E16" s="53"/>
      <c r="F16" s="53"/>
      <c r="G16" s="53"/>
      <c r="I16" s="123">
        <v>13</v>
      </c>
      <c r="J16" t="str">
        <f>IFERROR(VLOOKUP(I16,'Balance a Oct'!$A$3:$C$300,2,FALSE),"")</f>
        <v/>
      </c>
      <c r="K16" t="str">
        <f>IFERROR(VLOOKUP(I16,'Balance a Oct'!$A$3:$C$300,3,FALSE),"")</f>
        <v/>
      </c>
      <c r="L16" t="str">
        <f>IFERROR(IF(AND(VALUE(LEFT(J16,1))&gt;=6,VALUE(LEFT(J16,1))&lt;=7),_xlfn.XMATCH(VALUE(J16),PROYECCIONES!$B$1:$B$38,-1,1),_xlfn.XMATCH(VALUE(J16),PROYECCIONES!$B$1:$B$333,-1,1)),"")</f>
        <v/>
      </c>
    </row>
    <row r="17" spans="1:12">
      <c r="A17">
        <f>IFERROR(IF(B17="",0,IF(VALUE(LEFT(B17,1))&gt;3,VLOOKUP(VALUE(B17),PROYECCIONES!B:D,3,FALSE),0)),1 + COUNTIF($A$2:A16,"&gt;0"))</f>
        <v>0</v>
      </c>
      <c r="C17" s="52"/>
      <c r="D17" s="53"/>
      <c r="E17" s="53"/>
      <c r="F17" s="53"/>
      <c r="G17" s="53"/>
      <c r="I17" s="123">
        <v>14</v>
      </c>
      <c r="J17" t="str">
        <f>IFERROR(VLOOKUP(I17,'Balance a Oct'!$A$3:$C$300,2,FALSE),"")</f>
        <v/>
      </c>
      <c r="K17" t="str">
        <f>IFERROR(VLOOKUP(I17,'Balance a Oct'!$A$3:$C$300,3,FALSE),"")</f>
        <v/>
      </c>
      <c r="L17" t="str">
        <f>IFERROR(IF(AND(VALUE(LEFT(J17,1))&gt;=6,VALUE(LEFT(J17,1))&lt;=7),_xlfn.XMATCH(VALUE(J17),PROYECCIONES!$B$1:$B$38,-1,1),_xlfn.XMATCH(VALUE(J17),PROYECCIONES!$B$1:$B$333,-1,1)),"")</f>
        <v/>
      </c>
    </row>
    <row r="18" spans="1:12">
      <c r="A18">
        <f>IFERROR(IF(B18="",0,IF(VALUE(LEFT(B18,1))&gt;3,VLOOKUP(VALUE(B18),PROYECCIONES!B:D,3,FALSE),0)),1 + COUNTIF($A$2:A17,"&gt;0"))</f>
        <v>0</v>
      </c>
      <c r="C18" s="52"/>
      <c r="D18" s="53"/>
      <c r="E18" s="53"/>
      <c r="F18" s="53"/>
      <c r="G18" s="53"/>
      <c r="I18" s="123">
        <v>15</v>
      </c>
      <c r="J18" t="str">
        <f>IFERROR(VLOOKUP(I18,'Balance a Oct'!$A$3:$C$300,2,FALSE),"")</f>
        <v/>
      </c>
      <c r="K18" t="str">
        <f>IFERROR(VLOOKUP(I18,'Balance a Oct'!$A$3:$C$300,3,FALSE),"")</f>
        <v/>
      </c>
      <c r="L18" t="str">
        <f>IFERROR(IF(AND(VALUE(LEFT(J18,1))&gt;=6,VALUE(LEFT(J18,1))&lt;=7),_xlfn.XMATCH(VALUE(J18),PROYECCIONES!$B$1:$B$38,-1,1),_xlfn.XMATCH(VALUE(J18),PROYECCIONES!$B$1:$B$333,-1,1)),"")</f>
        <v/>
      </c>
    </row>
    <row r="19" spans="1:12">
      <c r="A19">
        <f>IFERROR(IF(B19="",0,IF(VALUE(LEFT(B19,1))&gt;3,VLOOKUP(VALUE(B19),PROYECCIONES!B:D,3,FALSE),0)),1 + COUNTIF($A$2:A18,"&gt;0"))</f>
        <v>0</v>
      </c>
      <c r="C19" s="52"/>
      <c r="D19" s="53"/>
      <c r="E19" s="53"/>
      <c r="F19" s="53"/>
      <c r="G19" s="53"/>
    </row>
    <row r="20" spans="1:12">
      <c r="A20">
        <f>IFERROR(IF(B20="",0,IF(VALUE(LEFT(B20,1))&gt;3,VLOOKUP(VALUE(B20),PROYECCIONES!B:D,3,FALSE),0)),1 + COUNTIF($A$2:A19,"&gt;0"))</f>
        <v>0</v>
      </c>
      <c r="C20" s="52"/>
      <c r="D20" s="53"/>
      <c r="E20" s="53"/>
      <c r="F20" s="53"/>
      <c r="G20" s="53"/>
    </row>
    <row r="21" spans="1:12">
      <c r="A21">
        <f>IFERROR(IF(B21="",0,IF(VALUE(LEFT(B21,1))&gt;3,VLOOKUP(VALUE(B21),PROYECCIONES!B:D,3,FALSE),0)),1 + COUNTIF($A$2:A20,"&gt;0"))</f>
        <v>0</v>
      </c>
      <c r="C21" s="52"/>
      <c r="D21" s="53"/>
      <c r="E21" s="53"/>
      <c r="F21" s="53"/>
      <c r="G21" s="53"/>
    </row>
    <row r="22" spans="1:12">
      <c r="A22">
        <f>IFERROR(IF(B22="",0,IF(VALUE(LEFT(B22,1))&gt;3,VLOOKUP(VALUE(B22),PROYECCIONES!B:D,3,FALSE),0)),1 + COUNTIF($A$2:A21,"&gt;0"))</f>
        <v>0</v>
      </c>
      <c r="C22" s="52"/>
      <c r="D22" s="53"/>
      <c r="E22" s="53"/>
      <c r="F22" s="53"/>
      <c r="G22" s="53"/>
    </row>
    <row r="23" spans="1:12">
      <c r="A23">
        <f>IFERROR(IF(B23="",0,IF(VALUE(LEFT(B23,1))&gt;3,VLOOKUP(VALUE(B23),PROYECCIONES!B:D,3,FALSE),0)),1 + COUNTIF($A$2:A22,"&gt;0"))</f>
        <v>0</v>
      </c>
      <c r="C23" s="52"/>
      <c r="D23" s="53"/>
      <c r="E23" s="53"/>
      <c r="F23" s="53"/>
      <c r="G23" s="53"/>
    </row>
    <row r="24" spans="1:12">
      <c r="A24">
        <f>IFERROR(IF(B24="",0,IF(VALUE(LEFT(B24,1))&gt;3,VLOOKUP(VALUE(B24),PROYECCIONES!B:D,3,FALSE),0)),1 + COUNTIF($A$2:A23,"&gt;0"))</f>
        <v>0</v>
      </c>
      <c r="C24" s="52"/>
      <c r="D24" s="53"/>
      <c r="E24" s="53"/>
      <c r="F24" s="53"/>
      <c r="G24" s="53"/>
    </row>
    <row r="25" spans="1:12">
      <c r="A25">
        <f>IFERROR(IF(B25="",0,IF(VALUE(LEFT(B25,1))&gt;3,VLOOKUP(VALUE(B25),PROYECCIONES!B:D,3,FALSE),0)),1 + COUNTIF($A$2:A24,"&gt;0"))</f>
        <v>0</v>
      </c>
      <c r="C25" s="52"/>
      <c r="D25" s="53"/>
      <c r="E25" s="53"/>
      <c r="F25" s="53"/>
      <c r="G25" s="53"/>
    </row>
    <row r="26" spans="1:12">
      <c r="A26">
        <f>IFERROR(IF(B26="",0,IF(VALUE(LEFT(B26,1))&gt;3,VLOOKUP(VALUE(B26),PROYECCIONES!B:D,3,FALSE),0)),1 + COUNTIF($A$2:A25,"&gt;0"))</f>
        <v>0</v>
      </c>
      <c r="C26" s="52"/>
      <c r="D26" s="53"/>
      <c r="E26" s="53"/>
      <c r="F26" s="53"/>
      <c r="G26" s="53"/>
    </row>
    <row r="27" spans="1:12">
      <c r="A27">
        <f>IFERROR(IF(B27="",0,IF(VALUE(LEFT(B27,1))&gt;3,VLOOKUP(VALUE(B27),PROYECCIONES!B:D,3,FALSE),0)),1 + COUNTIF($A$2:A26,"&gt;0"))</f>
        <v>0</v>
      </c>
      <c r="C27" s="52"/>
      <c r="D27" s="53"/>
      <c r="E27" s="53"/>
      <c r="F27" s="53"/>
      <c r="G27" s="53"/>
    </row>
    <row r="28" spans="1:12">
      <c r="A28">
        <f>IFERROR(IF(B28="",0,IF(VALUE(LEFT(B28,1))&gt;3,VLOOKUP(VALUE(B28),PROYECCIONES!B:D,3,FALSE),0)),1 + COUNTIF($A$2:A27,"&gt;0"))</f>
        <v>0</v>
      </c>
      <c r="C28" s="52"/>
      <c r="D28" s="53"/>
      <c r="E28" s="53"/>
      <c r="F28" s="53"/>
      <c r="G28" s="53"/>
    </row>
    <row r="29" spans="1:12">
      <c r="A29">
        <f>IFERROR(IF(B29="",0,IF(VALUE(LEFT(B29,1))&gt;3,VLOOKUP(VALUE(B29),PROYECCIONES!B:D,3,FALSE),0)),1 + COUNTIF($A$2:A28,"&gt;0"))</f>
        <v>0</v>
      </c>
      <c r="C29" s="52"/>
      <c r="D29" s="53"/>
      <c r="E29" s="53"/>
      <c r="F29" s="53"/>
      <c r="G29" s="53"/>
    </row>
    <row r="30" spans="1:12">
      <c r="A30">
        <f>IFERROR(IF(B30="",0,IF(VALUE(LEFT(B30,1))&gt;3,VLOOKUP(VALUE(B30),PROYECCIONES!B:D,3,FALSE),0)),1 + COUNTIF($A$2:A29,"&gt;0"))</f>
        <v>0</v>
      </c>
      <c r="C30" s="52"/>
      <c r="D30" s="53"/>
      <c r="E30" s="53"/>
      <c r="F30" s="53"/>
      <c r="G30" s="53"/>
    </row>
    <row r="31" spans="1:12">
      <c r="A31">
        <f>IFERROR(IF(B31="",0,IF(VALUE(LEFT(B31,1))&gt;3,VLOOKUP(VALUE(B31),PROYECCIONES!B:D,3,FALSE),0)),1 + COUNTIF($A$2:A30,"&gt;0"))</f>
        <v>0</v>
      </c>
      <c r="C31" s="52"/>
      <c r="D31" s="53"/>
      <c r="E31" s="53"/>
      <c r="F31" s="53"/>
      <c r="G31" s="53"/>
    </row>
    <row r="32" spans="1:12">
      <c r="A32">
        <f>IFERROR(IF(B32="",0,IF(VALUE(LEFT(B32,1))&gt;3,VLOOKUP(VALUE(B32),PROYECCIONES!B:D,3,FALSE),0)),1 + COUNTIF($A$2:A31,"&gt;0"))</f>
        <v>0</v>
      </c>
      <c r="C32" s="52"/>
      <c r="D32" s="53"/>
      <c r="E32" s="53"/>
      <c r="F32" s="53"/>
      <c r="G32" s="53"/>
    </row>
    <row r="33" spans="1:7">
      <c r="A33">
        <f>IFERROR(IF(B33="",0,IF(VALUE(LEFT(B33,1))&gt;3,VLOOKUP(VALUE(B33),PROYECCIONES!B:D,3,FALSE),0)),1 + COUNTIF($A$2:A32,"&gt;0"))</f>
        <v>0</v>
      </c>
      <c r="C33" s="52"/>
      <c r="D33" s="53"/>
      <c r="E33" s="53"/>
      <c r="F33" s="53"/>
      <c r="G33" s="53"/>
    </row>
    <row r="34" spans="1:7">
      <c r="A34">
        <f>IFERROR(IF(B34="",0,IF(VALUE(LEFT(B34,1))&gt;3,VLOOKUP(VALUE(B34),PROYECCIONES!B:D,3,FALSE),0)),1 + COUNTIF($A$2:A33,"&gt;0"))</f>
        <v>0</v>
      </c>
      <c r="C34" s="52"/>
      <c r="D34" s="53"/>
      <c r="E34" s="53"/>
      <c r="F34" s="53"/>
      <c r="G34" s="53"/>
    </row>
    <row r="35" spans="1:7">
      <c r="A35">
        <f>IFERROR(IF(B35="",0,IF(VALUE(LEFT(B35,1))&gt;3,VLOOKUP(VALUE(B35),PROYECCIONES!B:D,3,FALSE),0)),1 + COUNTIF($A$2:A34,"&gt;0"))</f>
        <v>0</v>
      </c>
      <c r="C35" s="52"/>
      <c r="D35" s="53"/>
      <c r="E35" s="53"/>
      <c r="F35" s="53"/>
      <c r="G35" s="53"/>
    </row>
    <row r="36" spans="1:7">
      <c r="A36">
        <f>IFERROR(IF(B36="",0,IF(VALUE(LEFT(B36,1))&gt;3,VLOOKUP(VALUE(B36),PROYECCIONES!B:D,3,FALSE),0)),1 + COUNTIF($A$2:A35,"&gt;0"))</f>
        <v>0</v>
      </c>
      <c r="C36" s="52"/>
      <c r="D36" s="53"/>
      <c r="E36" s="53"/>
      <c r="F36" s="53"/>
      <c r="G36" s="53"/>
    </row>
    <row r="37" spans="1:7">
      <c r="A37">
        <f>IFERROR(IF(B37="",0,IF(VALUE(LEFT(B37,1))&gt;3,VLOOKUP(VALUE(B37),PROYECCIONES!B:D,3,FALSE),0)),1 + COUNTIF($A$2:A36,"&gt;0"))</f>
        <v>0</v>
      </c>
      <c r="C37" s="52"/>
      <c r="D37" s="53"/>
      <c r="E37" s="53"/>
      <c r="F37" s="53"/>
      <c r="G37" s="53"/>
    </row>
    <row r="38" spans="1:7">
      <c r="A38">
        <f>IFERROR(IF(B38="",0,IF(VALUE(LEFT(B38,1))&gt;3,VLOOKUP(VALUE(B38),PROYECCIONES!B:D,3,FALSE),0)),1 + COUNTIF($A$2:A37,"&gt;0"))</f>
        <v>0</v>
      </c>
      <c r="C38" s="52"/>
      <c r="D38" s="53"/>
      <c r="E38" s="53"/>
      <c r="F38" s="53"/>
      <c r="G38" s="53"/>
    </row>
    <row r="39" spans="1:7">
      <c r="A39">
        <f>IFERROR(IF(B39="",0,IF(VALUE(LEFT(B39,1))&gt;3,VLOOKUP(VALUE(B39),PROYECCIONES!B:D,3,FALSE),0)),1 + COUNTIF($A$2:A38,"&gt;0"))</f>
        <v>0</v>
      </c>
      <c r="C39" s="52"/>
      <c r="D39" s="53"/>
      <c r="E39" s="53"/>
      <c r="F39" s="53"/>
      <c r="G39" s="53"/>
    </row>
    <row r="40" spans="1:7">
      <c r="A40">
        <f>IFERROR(IF(B40="",0,IF(VALUE(LEFT(B40,1))&gt;3,VLOOKUP(VALUE(B40),PROYECCIONES!B:D,3,FALSE),0)),1 + COUNTIF($A$2:A39,"&gt;0"))</f>
        <v>0</v>
      </c>
      <c r="C40" s="52"/>
      <c r="D40" s="53"/>
      <c r="E40" s="53"/>
      <c r="F40" s="53"/>
      <c r="G40" s="53"/>
    </row>
    <row r="41" spans="1:7">
      <c r="A41">
        <f>IFERROR(IF(B41="",0,IF(VALUE(LEFT(B41,1))&gt;3,VLOOKUP(VALUE(B41),PROYECCIONES!B:D,3,FALSE),0)),1 + COUNTIF($A$2:A40,"&gt;0"))</f>
        <v>0</v>
      </c>
      <c r="C41" s="52"/>
      <c r="D41" s="53"/>
      <c r="E41" s="53"/>
      <c r="F41" s="53"/>
      <c r="G41" s="53"/>
    </row>
    <row r="42" spans="1:7">
      <c r="A42">
        <f>IFERROR(IF(B42="",0,IF(VALUE(LEFT(B42,1))&gt;3,VLOOKUP(VALUE(B42),PROYECCIONES!B:D,3,FALSE),0)),1 + COUNTIF($A$2:A41,"&gt;0"))</f>
        <v>0</v>
      </c>
      <c r="C42" s="52"/>
      <c r="D42" s="53"/>
      <c r="E42" s="53"/>
      <c r="F42" s="53"/>
      <c r="G42" s="53"/>
    </row>
    <row r="43" spans="1:7">
      <c r="A43">
        <f>IFERROR(IF(B43="",0,IF(VALUE(LEFT(B43,1))&gt;3,VLOOKUP(VALUE(B43),PROYECCIONES!B:D,3,FALSE),0)),1 + COUNTIF($A$2:A42,"&gt;0"))</f>
        <v>0</v>
      </c>
      <c r="C43" s="52"/>
      <c r="D43" s="53"/>
      <c r="E43" s="53"/>
      <c r="F43" s="53"/>
      <c r="G43" s="53"/>
    </row>
    <row r="44" spans="1:7">
      <c r="A44">
        <f>IFERROR(IF(B44="",0,IF(VALUE(LEFT(B44,1))&gt;3,VLOOKUP(VALUE(B44),PROYECCIONES!B:D,3,FALSE),0)),1 + COUNTIF($A$2:A43,"&gt;0"))</f>
        <v>0</v>
      </c>
      <c r="C44" s="52"/>
      <c r="D44" s="53"/>
      <c r="E44" s="53"/>
      <c r="F44" s="53"/>
      <c r="G44" s="53"/>
    </row>
    <row r="45" spans="1:7">
      <c r="A45">
        <f>IFERROR(IF(B45="",0,IF(VALUE(LEFT(B45,1))&gt;3,VLOOKUP(VALUE(B45),PROYECCIONES!B:D,3,FALSE),0)),1 + COUNTIF($A$2:A44,"&gt;0"))</f>
        <v>0</v>
      </c>
      <c r="C45" s="52"/>
      <c r="D45" s="53"/>
      <c r="E45" s="53"/>
      <c r="F45" s="53"/>
      <c r="G45" s="53"/>
    </row>
    <row r="46" spans="1:7">
      <c r="A46">
        <f>IFERROR(IF(B46="",0,IF(VALUE(LEFT(B46,1))&gt;3,VLOOKUP(VALUE(B46),PROYECCIONES!B:D,3,FALSE),0)),1 + COUNTIF($A$2:A45,"&gt;0"))</f>
        <v>0</v>
      </c>
      <c r="C46" s="52"/>
      <c r="D46" s="53"/>
      <c r="E46" s="53"/>
      <c r="F46" s="53"/>
      <c r="G46" s="53"/>
    </row>
    <row r="47" spans="1:7">
      <c r="A47">
        <f>IFERROR(IF(B47="",0,IF(VALUE(LEFT(B47,1))&gt;3,VLOOKUP(VALUE(B47),PROYECCIONES!B:D,3,FALSE),0)),1 + COUNTIF($A$2:A46,"&gt;0"))</f>
        <v>0</v>
      </c>
      <c r="C47" s="52"/>
      <c r="D47" s="53"/>
      <c r="E47" s="53"/>
      <c r="F47" s="53"/>
      <c r="G47" s="53"/>
    </row>
    <row r="48" spans="1:7">
      <c r="A48">
        <f>IFERROR(IF(B48="",0,IF(VALUE(LEFT(B48,1))&gt;3,VLOOKUP(VALUE(B48),PROYECCIONES!B:D,3,FALSE),0)),1 + COUNTIF($A$2:A47,"&gt;0"))</f>
        <v>0</v>
      </c>
      <c r="C48" s="52"/>
      <c r="D48" s="53"/>
      <c r="E48" s="53"/>
      <c r="F48" s="53"/>
      <c r="G48" s="53"/>
    </row>
    <row r="49" spans="1:7">
      <c r="A49">
        <f>IFERROR(IF(B49="",0,IF(VALUE(LEFT(B49,1))&gt;3,VLOOKUP(VALUE(B49),PROYECCIONES!B:D,3,FALSE),0)),1 + COUNTIF($A$2:A48,"&gt;0"))</f>
        <v>0</v>
      </c>
      <c r="C49" s="52"/>
      <c r="D49" s="53"/>
      <c r="E49" s="53"/>
      <c r="F49" s="53"/>
      <c r="G49" s="53"/>
    </row>
    <row r="50" spans="1:7">
      <c r="A50">
        <f>IFERROR(IF(B50="",0,IF(VALUE(LEFT(B50,1))&gt;3,VLOOKUP(VALUE(B50),PROYECCIONES!B:D,3,FALSE),0)),1 + COUNTIF($A$2:A49,"&gt;0"))</f>
        <v>0</v>
      </c>
      <c r="C50" s="52"/>
      <c r="D50" s="53"/>
      <c r="E50" s="53"/>
      <c r="F50" s="53"/>
      <c r="G50" s="53"/>
    </row>
    <row r="51" spans="1:7">
      <c r="A51">
        <f>IFERROR(IF(B51="",0,IF(VALUE(LEFT(B51,1))&gt;3,VLOOKUP(VALUE(B51),PROYECCIONES!B:D,3,FALSE),0)),1 + COUNTIF($A$2:A50,"&gt;0"))</f>
        <v>0</v>
      </c>
      <c r="C51" s="52"/>
      <c r="D51" s="53"/>
      <c r="E51" s="53"/>
      <c r="F51" s="53"/>
      <c r="G51" s="53"/>
    </row>
    <row r="52" spans="1:7">
      <c r="A52">
        <f>IFERROR(IF(B52="",0,IF(VALUE(LEFT(B52,1))&gt;3,VLOOKUP(VALUE(B52),PROYECCIONES!B:D,3,FALSE),0)),1 + COUNTIF($A$2:A51,"&gt;0"))</f>
        <v>0</v>
      </c>
      <c r="C52" s="52"/>
      <c r="D52" s="53"/>
      <c r="E52" s="53"/>
      <c r="F52" s="53"/>
      <c r="G52" s="53"/>
    </row>
    <row r="53" spans="1:7">
      <c r="A53">
        <f>IFERROR(IF(B53="",0,IF(VALUE(LEFT(B53,1))&gt;3,VLOOKUP(VALUE(B53),PROYECCIONES!B:D,3,FALSE),0)),1 + COUNTIF($A$2:A52,"&gt;0"))</f>
        <v>0</v>
      </c>
      <c r="C53" s="52"/>
      <c r="D53" s="53"/>
      <c r="E53" s="53"/>
      <c r="F53" s="53"/>
      <c r="G53" s="53"/>
    </row>
    <row r="54" spans="1:7">
      <c r="A54">
        <f>IFERROR(IF(B54="",0,IF(VALUE(LEFT(B54,1))&gt;3,VLOOKUP(VALUE(B54),PROYECCIONES!B:D,3,FALSE),0)),1 + COUNTIF($A$2:A53,"&gt;0"))</f>
        <v>0</v>
      </c>
      <c r="C54" s="52"/>
      <c r="D54" s="53"/>
      <c r="E54" s="53"/>
      <c r="F54" s="53"/>
      <c r="G54" s="53"/>
    </row>
    <row r="55" spans="1:7">
      <c r="A55">
        <f>IFERROR(IF(B55="",0,IF(VALUE(LEFT(B55,1))&gt;3,VLOOKUP(VALUE(B55),PROYECCIONES!B:D,3,FALSE),0)),1 + COUNTIF($A$2:A54,"&gt;0"))</f>
        <v>0</v>
      </c>
      <c r="C55" s="52"/>
      <c r="D55" s="53"/>
      <c r="E55" s="53"/>
      <c r="F55" s="53"/>
      <c r="G55" s="53"/>
    </row>
    <row r="56" spans="1:7">
      <c r="A56">
        <f>IFERROR(IF(B56="",0,IF(VALUE(LEFT(B56,1))&gt;3,VLOOKUP(VALUE(B56),PROYECCIONES!B:D,3,FALSE),0)),1 + COUNTIF($A$2:A55,"&gt;0"))</f>
        <v>0</v>
      </c>
      <c r="C56" s="52"/>
      <c r="D56" s="53"/>
      <c r="E56" s="53"/>
      <c r="F56" s="53"/>
      <c r="G56" s="53"/>
    </row>
    <row r="57" spans="1:7">
      <c r="A57">
        <f>IFERROR(IF(B57="",0,IF(VALUE(LEFT(B57,1))&gt;3,VLOOKUP(VALUE(B57),PROYECCIONES!B:D,3,FALSE),0)),1 + COUNTIF($A$2:A56,"&gt;0"))</f>
        <v>0</v>
      </c>
      <c r="C57" s="52"/>
      <c r="D57" s="53"/>
      <c r="E57" s="53"/>
      <c r="F57" s="53"/>
      <c r="G57" s="53"/>
    </row>
    <row r="58" spans="1:7">
      <c r="A58">
        <f>IFERROR(IF(B58="",0,IF(VALUE(LEFT(B58,1))&gt;3,VLOOKUP(VALUE(B58),PROYECCIONES!B:D,3,FALSE),0)),1 + COUNTIF($A$2:A57,"&gt;0"))</f>
        <v>0</v>
      </c>
      <c r="C58" s="52"/>
      <c r="D58" s="53"/>
      <c r="E58" s="53"/>
      <c r="F58" s="53"/>
      <c r="G58" s="53"/>
    </row>
    <row r="59" spans="1:7">
      <c r="A59">
        <f>IFERROR(IF(B59="",0,IF(VALUE(LEFT(B59,1))&gt;3,VLOOKUP(VALUE(B59),PROYECCIONES!B:D,3,FALSE),0)),1 + COUNTIF($A$2:A58,"&gt;0"))</f>
        <v>0</v>
      </c>
      <c r="C59" s="52"/>
      <c r="D59" s="53"/>
      <c r="E59" s="53"/>
      <c r="F59" s="53"/>
      <c r="G59" s="53"/>
    </row>
    <row r="60" spans="1:7">
      <c r="A60">
        <f>IFERROR(IF(B60="",0,IF(VALUE(LEFT(B60,1))&gt;3,VLOOKUP(VALUE(B60),PROYECCIONES!B:D,3,FALSE),0)),1 + COUNTIF($A$2:A59,"&gt;0"))</f>
        <v>0</v>
      </c>
      <c r="C60" s="52"/>
      <c r="D60" s="53"/>
      <c r="E60" s="53"/>
      <c r="F60" s="53"/>
      <c r="G60" s="53"/>
    </row>
    <row r="61" spans="1:7">
      <c r="A61">
        <f>IFERROR(IF(B61="",0,IF(VALUE(LEFT(B61,1))&gt;3,VLOOKUP(VALUE(B61),PROYECCIONES!B:D,3,FALSE),0)),1 + COUNTIF($A$2:A60,"&gt;0"))</f>
        <v>0</v>
      </c>
      <c r="C61" s="52"/>
      <c r="D61" s="53"/>
      <c r="E61" s="53"/>
      <c r="F61" s="53"/>
      <c r="G61" s="53"/>
    </row>
    <row r="62" spans="1:7">
      <c r="A62">
        <f>IFERROR(IF(B62="",0,IF(VALUE(LEFT(B62,1))&gt;3,VLOOKUP(VALUE(B62),PROYECCIONES!B:D,3,FALSE),0)),1 + COUNTIF($A$2:A61,"&gt;0"))</f>
        <v>0</v>
      </c>
      <c r="C62" s="52"/>
      <c r="D62" s="53"/>
      <c r="E62" s="53"/>
      <c r="F62" s="53"/>
      <c r="G62" s="53"/>
    </row>
    <row r="63" spans="1:7">
      <c r="A63">
        <f>IFERROR(IF(B63="",0,IF(VALUE(LEFT(B63,1))&gt;3,VLOOKUP(VALUE(B63),PROYECCIONES!B:D,3,FALSE),0)),1 + COUNTIF($A$2:A62,"&gt;0"))</f>
        <v>0</v>
      </c>
      <c r="C63" s="52"/>
      <c r="D63" s="53"/>
      <c r="E63" s="53"/>
      <c r="F63" s="53"/>
      <c r="G63" s="53"/>
    </row>
    <row r="64" spans="1:7">
      <c r="A64">
        <f>IFERROR(IF(B64="",0,IF(VALUE(LEFT(B64,1))&gt;3,VLOOKUP(VALUE(B64),PROYECCIONES!B:D,3,FALSE),0)),1 + COUNTIF($A$2:A63,"&gt;0"))</f>
        <v>0</v>
      </c>
      <c r="C64" s="52"/>
      <c r="D64" s="53"/>
      <c r="E64" s="53"/>
      <c r="F64" s="53"/>
      <c r="G64" s="53"/>
    </row>
    <row r="65" spans="1:7">
      <c r="A65">
        <f>IFERROR(IF(B65="",0,IF(VALUE(LEFT(B65,1))&gt;3,VLOOKUP(VALUE(B65),PROYECCIONES!B:D,3,FALSE),0)),1 + COUNTIF($A$2:A64,"&gt;0"))</f>
        <v>0</v>
      </c>
      <c r="C65" s="52"/>
      <c r="D65" s="53"/>
      <c r="E65" s="53"/>
      <c r="F65" s="53"/>
      <c r="G65" s="53"/>
    </row>
    <row r="66" spans="1:7">
      <c r="A66">
        <f>IFERROR(IF(B66="",0,IF(VALUE(LEFT(B66,1))&gt;3,VLOOKUP(VALUE(B66),PROYECCIONES!B:D,3,FALSE),0)),1 + COUNTIF($A$2:A65,"&gt;0"))</f>
        <v>0</v>
      </c>
      <c r="C66" s="52"/>
      <c r="D66" s="53"/>
      <c r="E66" s="53"/>
      <c r="F66" s="53"/>
      <c r="G66" s="53"/>
    </row>
    <row r="67" spans="1:7">
      <c r="A67">
        <f>IFERROR(IF(B67="",0,IF(VALUE(LEFT(B67,1))&gt;3,VLOOKUP(VALUE(B67),PROYECCIONES!B:D,3,FALSE),0)),1 + COUNTIF($A$2:A66,"&gt;0"))</f>
        <v>0</v>
      </c>
      <c r="C67" s="52"/>
      <c r="D67" s="53"/>
      <c r="E67" s="53"/>
      <c r="F67" s="53"/>
      <c r="G67" s="53"/>
    </row>
    <row r="68" spans="1:7">
      <c r="A68">
        <f>IFERROR(IF(B68="",0,IF(VALUE(LEFT(B68,1))&gt;3,VLOOKUP(VALUE(B68),PROYECCIONES!B:D,3,FALSE),0)),1 + COUNTIF($A$2:A67,"&gt;0"))</f>
        <v>0</v>
      </c>
      <c r="C68" s="52"/>
      <c r="D68" s="53"/>
      <c r="E68" s="53"/>
      <c r="F68" s="53"/>
      <c r="G68" s="53"/>
    </row>
    <row r="69" spans="1:7">
      <c r="A69">
        <f>IFERROR(IF(B69="",0,IF(VALUE(LEFT(B69,1))&gt;3,VLOOKUP(VALUE(B69),PROYECCIONES!B:D,3,FALSE),0)),1 + COUNTIF($A$2:A68,"&gt;0"))</f>
        <v>0</v>
      </c>
      <c r="C69" s="52"/>
      <c r="D69" s="53"/>
      <c r="E69" s="53"/>
      <c r="F69" s="53"/>
      <c r="G69" s="53"/>
    </row>
    <row r="70" spans="1:7">
      <c r="A70">
        <f>IFERROR(IF(B70="",0,IF(VALUE(LEFT(B70,1))&gt;3,VLOOKUP(VALUE(B70),PROYECCIONES!B:D,3,FALSE),0)),1 + COUNTIF($A$2:A69,"&gt;0"))</f>
        <v>0</v>
      </c>
      <c r="C70" s="52"/>
      <c r="D70" s="53"/>
      <c r="E70" s="53"/>
      <c r="F70" s="53"/>
      <c r="G70" s="53"/>
    </row>
    <row r="71" spans="1:7">
      <c r="A71">
        <f>IFERROR(IF(B71="",0,IF(VALUE(LEFT(B71,1))&gt;3,VLOOKUP(VALUE(B71),PROYECCIONES!B:D,3,FALSE),0)),1 + COUNTIF($A$2:A70,"&gt;0"))</f>
        <v>0</v>
      </c>
      <c r="C71" s="52"/>
      <c r="D71" s="53"/>
      <c r="E71" s="53"/>
      <c r="F71" s="53"/>
      <c r="G71" s="53"/>
    </row>
    <row r="72" spans="1:7">
      <c r="A72">
        <f>IFERROR(IF(B72="",0,IF(VALUE(LEFT(B72,1))&gt;3,VLOOKUP(VALUE(B72),PROYECCIONES!B:D,3,FALSE),0)),1 + COUNTIF($A$2:A71,"&gt;0"))</f>
        <v>0</v>
      </c>
      <c r="C72" s="52"/>
      <c r="D72" s="53"/>
      <c r="E72" s="53"/>
      <c r="F72" s="53"/>
      <c r="G72" s="53"/>
    </row>
    <row r="73" spans="1:7">
      <c r="A73">
        <f>IFERROR(IF(B73="",0,IF(VALUE(LEFT(B73,1))&gt;3,VLOOKUP(VALUE(B73),PROYECCIONES!B:D,3,FALSE),0)),1 + COUNTIF($A$2:A72,"&gt;0"))</f>
        <v>0</v>
      </c>
      <c r="C73" s="52"/>
      <c r="D73" s="53"/>
      <c r="E73" s="53"/>
      <c r="F73" s="53"/>
      <c r="G73" s="53"/>
    </row>
    <row r="74" spans="1:7">
      <c r="A74">
        <f>IFERROR(IF(B74="",0,IF(VALUE(LEFT(B74,1))&gt;3,VLOOKUP(VALUE(B74),PROYECCIONES!B:D,3,FALSE),0)),1 + COUNTIF($A$2:A73,"&gt;0"))</f>
        <v>0</v>
      </c>
      <c r="C74" s="52"/>
      <c r="D74" s="53"/>
      <c r="E74" s="53"/>
      <c r="F74" s="53"/>
      <c r="G74" s="53"/>
    </row>
    <row r="75" spans="1:7">
      <c r="A75">
        <f>IFERROR(IF(B75="",0,IF(VALUE(LEFT(B75,1))&gt;3,VLOOKUP(VALUE(B75),PROYECCIONES!B:D,3,FALSE),0)),1 + COUNTIF($A$2:A74,"&gt;0"))</f>
        <v>0</v>
      </c>
      <c r="C75" s="52"/>
      <c r="D75" s="53"/>
      <c r="E75" s="53"/>
      <c r="F75" s="53"/>
      <c r="G75" s="53"/>
    </row>
    <row r="76" spans="1:7">
      <c r="A76">
        <f>IFERROR(IF(B76="",0,IF(VALUE(LEFT(B76,1))&gt;3,VLOOKUP(VALUE(B76),PROYECCIONES!B:D,3,FALSE),0)),1 + COUNTIF($A$2:A75,"&gt;0"))</f>
        <v>0</v>
      </c>
      <c r="C76" s="52"/>
      <c r="D76" s="53"/>
      <c r="E76" s="53"/>
      <c r="F76" s="53"/>
      <c r="G76" s="53"/>
    </row>
    <row r="77" spans="1:7">
      <c r="A77">
        <f>IFERROR(IF(B77="",0,IF(VALUE(LEFT(B77,1))&gt;3,VLOOKUP(VALUE(B77),PROYECCIONES!B:D,3,FALSE),0)),1 + COUNTIF($A$2:A76,"&gt;0"))</f>
        <v>0</v>
      </c>
      <c r="C77" s="52"/>
      <c r="D77" s="53"/>
      <c r="E77" s="53"/>
      <c r="F77" s="53"/>
      <c r="G77" s="53"/>
    </row>
    <row r="78" spans="1:7">
      <c r="A78">
        <f>IFERROR(IF(B78="",0,IF(VALUE(LEFT(B78,1))&gt;3,VLOOKUP(VALUE(B78),PROYECCIONES!B:D,3,FALSE),0)),1 + COUNTIF($A$2:A77,"&gt;0"))</f>
        <v>0</v>
      </c>
      <c r="C78" s="52"/>
      <c r="D78" s="53"/>
      <c r="E78" s="53"/>
      <c r="F78" s="53"/>
      <c r="G78" s="53"/>
    </row>
    <row r="79" spans="1:7">
      <c r="A79">
        <f>IFERROR(IF(B79="",0,IF(VALUE(LEFT(B79,1))&gt;3,VLOOKUP(VALUE(B79),PROYECCIONES!B:D,3,FALSE),0)),1 + COUNTIF($A$2:A78,"&gt;0"))</f>
        <v>0</v>
      </c>
      <c r="C79" s="52"/>
      <c r="D79" s="53"/>
      <c r="E79" s="53"/>
      <c r="F79" s="53"/>
      <c r="G79" s="53"/>
    </row>
    <row r="80" spans="1:7">
      <c r="A80">
        <f>IFERROR(IF(B80="",0,IF(VALUE(LEFT(B80,1))&gt;3,VLOOKUP(VALUE(B80),PROYECCIONES!B:D,3,FALSE),0)),1 + COUNTIF($A$2:A79,"&gt;0"))</f>
        <v>0</v>
      </c>
      <c r="C80" s="52"/>
      <c r="D80" s="53"/>
      <c r="E80" s="53"/>
      <c r="F80" s="53"/>
      <c r="G80" s="53"/>
    </row>
    <row r="81" spans="1:7">
      <c r="A81">
        <f>IFERROR(IF(B81="",0,IF(VALUE(LEFT(B81,1))&gt;3,VLOOKUP(VALUE(B81),PROYECCIONES!B:D,3,FALSE),0)),1 + COUNTIF($A$2:A80,"&gt;0"))</f>
        <v>0</v>
      </c>
      <c r="C81" s="52"/>
      <c r="D81" s="53"/>
      <c r="E81" s="53"/>
      <c r="F81" s="53"/>
      <c r="G81" s="53"/>
    </row>
    <row r="82" spans="1:7">
      <c r="A82">
        <f>IFERROR(IF(B82="",0,IF(VALUE(LEFT(B82,1))&gt;3,VLOOKUP(VALUE(B82),PROYECCIONES!B:D,3,FALSE),0)),1 + COUNTIF($A$2:A81,"&gt;0"))</f>
        <v>0</v>
      </c>
      <c r="C82" s="52"/>
      <c r="D82" s="53"/>
      <c r="E82" s="53"/>
      <c r="F82" s="53"/>
      <c r="G82" s="53"/>
    </row>
    <row r="83" spans="1:7">
      <c r="A83">
        <f>IFERROR(IF(B83="",0,IF(VALUE(LEFT(B83,1))&gt;3,VLOOKUP(VALUE(B83),PROYECCIONES!B:D,3,FALSE),0)),1 + COUNTIF($A$2:A82,"&gt;0"))</f>
        <v>0</v>
      </c>
      <c r="C83" s="52"/>
      <c r="D83" s="53"/>
      <c r="E83" s="53"/>
      <c r="F83" s="53"/>
      <c r="G83" s="53"/>
    </row>
    <row r="84" spans="1:7">
      <c r="A84">
        <f>IFERROR(IF(B84="",0,IF(VALUE(LEFT(B84,1))&gt;3,VLOOKUP(VALUE(B84),PROYECCIONES!B:D,3,FALSE),0)),1 + COUNTIF($A$2:A83,"&gt;0"))</f>
        <v>0</v>
      </c>
      <c r="C84" s="52"/>
      <c r="D84" s="53"/>
      <c r="E84" s="53"/>
      <c r="F84" s="53"/>
      <c r="G84" s="53"/>
    </row>
    <row r="85" spans="1:7">
      <c r="A85">
        <f>IFERROR(IF(B85="",0,IF(VALUE(LEFT(B85,1))&gt;3,VLOOKUP(VALUE(B85),PROYECCIONES!B:D,3,FALSE),0)),1 + COUNTIF($A$2:A84,"&gt;0"))</f>
        <v>0</v>
      </c>
      <c r="C85" s="52"/>
      <c r="D85" s="53"/>
      <c r="E85" s="53"/>
      <c r="F85" s="53"/>
      <c r="G85" s="53"/>
    </row>
    <row r="86" spans="1:7">
      <c r="A86">
        <f>IFERROR(IF(B86="",0,IF(VALUE(LEFT(B86,1))&gt;3,VLOOKUP(VALUE(B86),PROYECCIONES!B:D,3,FALSE),0)),1 + COUNTIF($A$2:A85,"&gt;0"))</f>
        <v>0</v>
      </c>
      <c r="C86" s="52"/>
      <c r="D86" s="53"/>
      <c r="E86" s="53"/>
      <c r="F86" s="53"/>
      <c r="G86" s="53"/>
    </row>
    <row r="87" spans="1:7">
      <c r="A87">
        <f>IFERROR(IF(B87="",0,IF(VALUE(LEFT(B87,1))&gt;3,VLOOKUP(VALUE(B87),PROYECCIONES!B:D,3,FALSE),0)),1 + COUNTIF($A$2:A86,"&gt;0"))</f>
        <v>0</v>
      </c>
      <c r="C87" s="52"/>
      <c r="D87" s="53"/>
      <c r="E87" s="53"/>
      <c r="F87" s="53"/>
      <c r="G87" s="53"/>
    </row>
    <row r="88" spans="1:7">
      <c r="A88">
        <f>IFERROR(IF(B88="",0,IF(VALUE(LEFT(B88,1))&gt;3,VLOOKUP(VALUE(B88),PROYECCIONES!B:D,3,FALSE),0)),1 + COUNTIF($A$2:A87,"&gt;0"))</f>
        <v>0</v>
      </c>
      <c r="C88" s="52"/>
      <c r="D88" s="53"/>
      <c r="E88" s="53"/>
      <c r="F88" s="53"/>
      <c r="G88" s="53"/>
    </row>
    <row r="89" spans="1:7">
      <c r="A89">
        <f>IFERROR(IF(B89="",0,IF(VALUE(LEFT(B89,1))&gt;3,VLOOKUP(VALUE(B89),PROYECCIONES!B:D,3,FALSE),0)),1 + COUNTIF($A$2:A88,"&gt;0"))</f>
        <v>0</v>
      </c>
      <c r="C89" s="52"/>
      <c r="D89" s="53"/>
      <c r="E89" s="53"/>
      <c r="F89" s="53"/>
      <c r="G89" s="53"/>
    </row>
    <row r="90" spans="1:7">
      <c r="A90">
        <f>IFERROR(IF(B90="",0,IF(VALUE(LEFT(B90,1))&gt;3,VLOOKUP(VALUE(B90),PROYECCIONES!B:D,3,FALSE),0)),1 + COUNTIF($A$2:A89,"&gt;0"))</f>
        <v>0</v>
      </c>
      <c r="C90" s="52"/>
      <c r="D90" s="53"/>
      <c r="E90" s="53"/>
      <c r="F90" s="53"/>
      <c r="G90" s="53"/>
    </row>
    <row r="91" spans="1:7">
      <c r="A91">
        <f>IFERROR(IF(B91="",0,IF(VALUE(LEFT(B91,1))&gt;3,VLOOKUP(VALUE(B91),PROYECCIONES!B:D,3,FALSE),0)),1 + COUNTIF($A$2:A90,"&gt;0"))</f>
        <v>0</v>
      </c>
      <c r="C91" s="52"/>
      <c r="D91" s="53"/>
      <c r="E91" s="53"/>
      <c r="F91" s="53"/>
      <c r="G91" s="53"/>
    </row>
    <row r="92" spans="1:7">
      <c r="A92">
        <f>IFERROR(IF(B92="",0,IF(VALUE(LEFT(B92,1))&gt;3,VLOOKUP(VALUE(B92),PROYECCIONES!B:D,3,FALSE),0)),1 + COUNTIF($A$2:A91,"&gt;0"))</f>
        <v>0</v>
      </c>
      <c r="C92" s="52"/>
      <c r="D92" s="53"/>
      <c r="E92" s="53"/>
      <c r="F92" s="53"/>
      <c r="G92" s="53"/>
    </row>
    <row r="93" spans="1:7">
      <c r="A93">
        <f>IFERROR(IF(B93="",0,IF(VALUE(LEFT(B93,1))&gt;3,VLOOKUP(VALUE(B93),PROYECCIONES!B:D,3,FALSE),0)),1 + COUNTIF($A$2:A92,"&gt;0"))</f>
        <v>0</v>
      </c>
      <c r="C93" s="52"/>
      <c r="D93" s="53"/>
      <c r="E93" s="53"/>
      <c r="F93" s="53"/>
      <c r="G93" s="53"/>
    </row>
    <row r="94" spans="1:7">
      <c r="A94">
        <f>IFERROR(IF(B94="",0,IF(VALUE(LEFT(B94,1))&gt;3,VLOOKUP(VALUE(B94),PROYECCIONES!B:D,3,FALSE),0)),1 + COUNTIF($A$2:A93,"&gt;0"))</f>
        <v>0</v>
      </c>
      <c r="C94" s="52"/>
      <c r="D94" s="53"/>
      <c r="E94" s="53"/>
      <c r="F94" s="53"/>
      <c r="G94" s="53"/>
    </row>
    <row r="95" spans="1:7">
      <c r="A95">
        <f>IFERROR(IF(B95="",0,IF(VALUE(LEFT(B95,1))&gt;3,VLOOKUP(VALUE(B95),PROYECCIONES!B:D,3,FALSE),0)),1 + COUNTIF($A$2:A94,"&gt;0"))</f>
        <v>0</v>
      </c>
      <c r="C95" s="52"/>
      <c r="D95" s="53"/>
      <c r="E95" s="53"/>
      <c r="F95" s="53"/>
      <c r="G95" s="53"/>
    </row>
    <row r="96" spans="1:7">
      <c r="A96">
        <f>IFERROR(IF(B96="",0,IF(VALUE(LEFT(B96,1))&gt;3,VLOOKUP(VALUE(B96),PROYECCIONES!B:D,3,FALSE),0)),1 + COUNTIF($A$2:A95,"&gt;0"))</f>
        <v>0</v>
      </c>
      <c r="C96" s="52"/>
      <c r="D96" s="53"/>
      <c r="E96" s="53"/>
      <c r="F96" s="53"/>
      <c r="G96" s="53"/>
    </row>
    <row r="97" spans="1:7">
      <c r="A97">
        <f>IFERROR(IF(B97="",0,IF(VALUE(LEFT(B97,1))&gt;3,VLOOKUP(VALUE(B97),PROYECCIONES!B:D,3,FALSE),0)),1 + COUNTIF($A$2:A96,"&gt;0"))</f>
        <v>0</v>
      </c>
      <c r="C97" s="52"/>
      <c r="D97" s="53"/>
      <c r="E97" s="53"/>
      <c r="F97" s="53"/>
      <c r="G97" s="53"/>
    </row>
    <row r="98" spans="1:7">
      <c r="A98">
        <f>IFERROR(IF(B98="",0,IF(VALUE(LEFT(B98,1))&gt;3,VLOOKUP(VALUE(B98),PROYECCIONES!B:D,3,FALSE),0)),1 + COUNTIF($A$2:A97,"&gt;0"))</f>
        <v>0</v>
      </c>
      <c r="C98" s="52"/>
      <c r="D98" s="53"/>
      <c r="E98" s="53"/>
      <c r="F98" s="53"/>
      <c r="G98" s="53"/>
    </row>
    <row r="99" spans="1:7">
      <c r="A99">
        <f>IFERROR(IF(B99="",0,IF(VALUE(LEFT(B99,1))&gt;3,VLOOKUP(VALUE(B99),PROYECCIONES!B:D,3,FALSE),0)),1 + COUNTIF($A$2:A98,"&gt;0"))</f>
        <v>0</v>
      </c>
      <c r="C99" s="52"/>
      <c r="D99" s="53"/>
      <c r="E99" s="53"/>
      <c r="F99" s="53"/>
      <c r="G99" s="53"/>
    </row>
    <row r="100" spans="1:7">
      <c r="A100">
        <f>IFERROR(IF(B100="",0,IF(VALUE(LEFT(B100,1))&gt;3,VLOOKUP(VALUE(B100),PROYECCIONES!B:D,3,FALSE),0)),1 + COUNTIF($A$2:A99,"&gt;0"))</f>
        <v>0</v>
      </c>
      <c r="C100" s="52"/>
      <c r="D100" s="53"/>
      <c r="E100" s="53"/>
      <c r="F100" s="53"/>
      <c r="G100" s="53"/>
    </row>
    <row r="101" spans="1:7">
      <c r="A101">
        <f>IFERROR(IF(B101="",0,IF(VALUE(LEFT(B101,1))&gt;3,VLOOKUP(VALUE(B101),PROYECCIONES!B:D,3,FALSE),0)),1 + COUNTIF($A$2:A100,"&gt;0"))</f>
        <v>0</v>
      </c>
      <c r="C101" s="52"/>
      <c r="D101" s="53"/>
      <c r="E101" s="53"/>
      <c r="F101" s="53"/>
      <c r="G101" s="53"/>
    </row>
    <row r="102" spans="1:7">
      <c r="A102">
        <f>IFERROR(IF(B102="",0,IF(VALUE(LEFT(B102,1))&gt;3,VLOOKUP(VALUE(B102),PROYECCIONES!B:D,3,FALSE),0)),1 + COUNTIF($A$2:A101,"&gt;0"))</f>
        <v>0</v>
      </c>
      <c r="C102" s="52"/>
      <c r="D102" s="53"/>
      <c r="E102" s="53"/>
      <c r="F102" s="53"/>
      <c r="G102" s="53"/>
    </row>
    <row r="103" spans="1:7">
      <c r="A103">
        <f>IFERROR(IF(B103="",0,IF(VALUE(LEFT(B103,1))&gt;3,VLOOKUP(VALUE(B103),PROYECCIONES!B:D,3,FALSE),0)),1 + COUNTIF($A$2:A102,"&gt;0"))</f>
        <v>0</v>
      </c>
      <c r="C103" s="52"/>
      <c r="D103" s="53"/>
      <c r="E103" s="53"/>
      <c r="F103" s="53"/>
      <c r="G103" s="53"/>
    </row>
    <row r="104" spans="1:7">
      <c r="A104">
        <f>IFERROR(IF(B104="",0,IF(VALUE(LEFT(B104,1))&gt;3,VLOOKUP(VALUE(B104),PROYECCIONES!B:D,3,FALSE),0)),1 + COUNTIF($A$2:A103,"&gt;0"))</f>
        <v>0</v>
      </c>
      <c r="C104" s="52"/>
      <c r="D104" s="53"/>
      <c r="E104" s="53"/>
      <c r="F104" s="53"/>
      <c r="G104" s="53"/>
    </row>
    <row r="105" spans="1:7">
      <c r="A105">
        <f>IFERROR(IF(B105="",0,IF(VALUE(LEFT(B105,1))&gt;3,VLOOKUP(VALUE(B105),PROYECCIONES!B:D,3,FALSE),0)),1 + COUNTIF($A$2:A104,"&gt;0"))</f>
        <v>0</v>
      </c>
      <c r="C105" s="52"/>
      <c r="D105" s="53"/>
      <c r="E105" s="53"/>
      <c r="F105" s="53"/>
      <c r="G105" s="53"/>
    </row>
    <row r="106" spans="1:7">
      <c r="A106">
        <f>IFERROR(IF(B106="",0,IF(VALUE(LEFT(B106,1))&gt;3,VLOOKUP(VALUE(B106),PROYECCIONES!B:D,3,FALSE),0)),1 + COUNTIF($A$2:A105,"&gt;0"))</f>
        <v>0</v>
      </c>
      <c r="C106" s="52"/>
      <c r="D106" s="53"/>
      <c r="E106" s="53"/>
      <c r="F106" s="53"/>
      <c r="G106" s="53"/>
    </row>
    <row r="107" spans="1:7">
      <c r="A107">
        <f>IFERROR(IF(B107="",0,IF(VALUE(LEFT(B107,1))&gt;3,VLOOKUP(VALUE(B107),PROYECCIONES!B:D,3,FALSE),0)),1 + COUNTIF($A$2:A106,"&gt;0"))</f>
        <v>0</v>
      </c>
      <c r="C107" s="52"/>
      <c r="D107" s="53"/>
      <c r="E107" s="53"/>
      <c r="F107" s="53"/>
      <c r="G107" s="53"/>
    </row>
    <row r="108" spans="1:7">
      <c r="A108">
        <f>IFERROR(IF(B108="",0,IF(VALUE(LEFT(B108,1))&gt;3,VLOOKUP(VALUE(B108),PROYECCIONES!B:D,3,FALSE),0)),1 + COUNTIF($A$2:A107,"&gt;0"))</f>
        <v>0</v>
      </c>
      <c r="C108" s="52"/>
      <c r="D108" s="53"/>
      <c r="E108" s="53"/>
      <c r="F108" s="53"/>
      <c r="G108" s="53"/>
    </row>
    <row r="109" spans="1:7">
      <c r="A109">
        <f>IFERROR(IF(B109="",0,IF(VALUE(LEFT(B109,1))&gt;3,VLOOKUP(VALUE(B109),PROYECCIONES!B:D,3,FALSE),0)),1 + COUNTIF($A$2:A108,"&gt;0"))</f>
        <v>0</v>
      </c>
      <c r="C109" s="52"/>
      <c r="D109" s="53"/>
      <c r="E109" s="53"/>
      <c r="F109" s="53"/>
      <c r="G109" s="53"/>
    </row>
    <row r="110" spans="1:7">
      <c r="A110">
        <f>IFERROR(IF(B110="",0,IF(VALUE(LEFT(B110,1))&gt;3,VLOOKUP(VALUE(B110),PROYECCIONES!B:D,3,FALSE),0)),1 + COUNTIF($A$2:A109,"&gt;0"))</f>
        <v>0</v>
      </c>
      <c r="C110" s="52"/>
      <c r="D110" s="53"/>
      <c r="E110" s="53"/>
      <c r="F110" s="53"/>
      <c r="G110" s="53"/>
    </row>
    <row r="111" spans="1:7">
      <c r="A111">
        <f>IFERROR(IF(B111="",0,IF(VALUE(LEFT(B111,1))&gt;3,VLOOKUP(VALUE(B111),PROYECCIONES!B:D,3,FALSE),0)),1 + COUNTIF($A$2:A110,"&gt;0"))</f>
        <v>0</v>
      </c>
      <c r="C111" s="52"/>
      <c r="D111" s="53"/>
      <c r="E111" s="53"/>
      <c r="F111" s="53"/>
      <c r="G111" s="53"/>
    </row>
    <row r="112" spans="1:7">
      <c r="A112">
        <f>IFERROR(IF(B112="",0,IF(VALUE(LEFT(B112,1))&gt;3,VLOOKUP(VALUE(B112),PROYECCIONES!B:D,3,FALSE),0)),1 + COUNTIF($A$2:A111,"&gt;0"))</f>
        <v>0</v>
      </c>
      <c r="C112" s="52"/>
      <c r="D112" s="53"/>
      <c r="E112" s="53"/>
      <c r="F112" s="53"/>
      <c r="G112" s="53"/>
    </row>
    <row r="113" spans="1:7">
      <c r="A113">
        <f>IFERROR(IF(B113="",0,IF(VALUE(LEFT(B113,1))&gt;3,VLOOKUP(VALUE(B113),PROYECCIONES!B:D,3,FALSE),0)),1 + COUNTIF($A$2:A112,"&gt;0"))</f>
        <v>0</v>
      </c>
      <c r="C113" s="52"/>
      <c r="D113" s="53"/>
      <c r="E113" s="53"/>
      <c r="F113" s="53"/>
      <c r="G113" s="53"/>
    </row>
    <row r="114" spans="1:7">
      <c r="A114">
        <f>IFERROR(IF(B114="",0,IF(VALUE(LEFT(B114,1))&gt;3,VLOOKUP(VALUE(B114),PROYECCIONES!B:D,3,FALSE),0)),1 + COUNTIF($A$2:A113,"&gt;0"))</f>
        <v>0</v>
      </c>
      <c r="C114" s="52"/>
      <c r="D114" s="53"/>
      <c r="E114" s="53"/>
      <c r="F114" s="53"/>
      <c r="G114" s="53"/>
    </row>
    <row r="115" spans="1:7">
      <c r="A115">
        <f>IFERROR(IF(B115="",0,IF(VALUE(LEFT(B115,1))&gt;3,VLOOKUP(VALUE(B115),PROYECCIONES!B:D,3,FALSE),0)),1 + COUNTIF($A$2:A114,"&gt;0"))</f>
        <v>0</v>
      </c>
      <c r="C115" s="52"/>
      <c r="D115" s="53"/>
      <c r="E115" s="53"/>
      <c r="F115" s="53"/>
      <c r="G115" s="53"/>
    </row>
    <row r="116" spans="1:7">
      <c r="A116">
        <f>IFERROR(IF(B116="",0,IF(VALUE(LEFT(B116,1))&gt;3,VLOOKUP(VALUE(B116),PROYECCIONES!B:D,3,FALSE),0)),1 + COUNTIF($A$2:A115,"&gt;0"))</f>
        <v>0</v>
      </c>
      <c r="C116" s="52"/>
      <c r="D116" s="53"/>
      <c r="E116" s="53"/>
      <c r="F116" s="53"/>
      <c r="G116" s="53"/>
    </row>
    <row r="117" spans="1:7">
      <c r="A117">
        <f>IFERROR(IF(B117="",0,IF(VALUE(LEFT(B117,1))&gt;3,VLOOKUP(VALUE(B117),PROYECCIONES!B:D,3,FALSE),0)),1 + COUNTIF($A$2:A116,"&gt;0"))</f>
        <v>0</v>
      </c>
      <c r="C117" s="52"/>
      <c r="D117" s="53"/>
      <c r="E117" s="53"/>
      <c r="F117" s="53"/>
      <c r="G117" s="53"/>
    </row>
    <row r="118" spans="1:7">
      <c r="A118">
        <f>IFERROR(IF(B118="",0,IF(VALUE(LEFT(B118,1))&gt;3,VLOOKUP(VALUE(B118),PROYECCIONES!B:D,3,FALSE),0)),1 + COUNTIF($A$2:A117,"&gt;0"))</f>
        <v>0</v>
      </c>
      <c r="C118" s="52"/>
      <c r="D118" s="53"/>
      <c r="E118" s="53"/>
      <c r="F118" s="53"/>
      <c r="G118" s="53"/>
    </row>
    <row r="119" spans="1:7">
      <c r="A119">
        <f>IFERROR(IF(B119="",0,IF(VALUE(LEFT(B119,1))&gt;3,VLOOKUP(VALUE(B119),PROYECCIONES!B:D,3,FALSE),0)),1 + COUNTIF($A$2:A118,"&gt;0"))</f>
        <v>0</v>
      </c>
      <c r="C119" s="52"/>
      <c r="D119" s="53"/>
      <c r="E119" s="53"/>
      <c r="F119" s="53"/>
      <c r="G119" s="53"/>
    </row>
    <row r="120" spans="1:7">
      <c r="A120">
        <f>IFERROR(IF(B120="",0,IF(VALUE(LEFT(B120,1))&gt;3,VLOOKUP(VALUE(B120),PROYECCIONES!B:D,3,FALSE),0)),1 + COUNTIF($A$2:A119,"&gt;0"))</f>
        <v>0</v>
      </c>
      <c r="C120" s="52"/>
      <c r="D120" s="53"/>
      <c r="E120" s="53"/>
      <c r="F120" s="53"/>
      <c r="G120" s="53"/>
    </row>
    <row r="121" spans="1:7">
      <c r="A121">
        <f>IFERROR(IF(B121="",0,IF(VALUE(LEFT(B121,1))&gt;3,VLOOKUP(VALUE(B121),PROYECCIONES!B:D,3,FALSE),0)),1 + COUNTIF($A$2:A120,"&gt;0"))</f>
        <v>0</v>
      </c>
      <c r="C121" s="52"/>
      <c r="D121" s="53"/>
      <c r="E121" s="53"/>
      <c r="F121" s="53"/>
      <c r="G121" s="53"/>
    </row>
    <row r="122" spans="1:7">
      <c r="A122">
        <f>IFERROR(IF(B122="",0,IF(VALUE(LEFT(B122,1))&gt;3,VLOOKUP(VALUE(B122),PROYECCIONES!B:D,3,FALSE),0)),1 + COUNTIF($A$2:A121,"&gt;0"))</f>
        <v>0</v>
      </c>
      <c r="C122" s="52"/>
      <c r="D122" s="53"/>
      <c r="E122" s="53"/>
      <c r="F122" s="53"/>
      <c r="G122" s="53"/>
    </row>
    <row r="123" spans="1:7">
      <c r="A123">
        <f>IFERROR(IF(B123="",0,IF(VALUE(LEFT(B123,1))&gt;3,VLOOKUP(VALUE(B123),PROYECCIONES!B:D,3,FALSE),0)),1 + COUNTIF($A$2:A122,"&gt;0"))</f>
        <v>0</v>
      </c>
      <c r="C123" s="52"/>
      <c r="D123" s="53"/>
      <c r="E123" s="53"/>
      <c r="F123" s="53"/>
      <c r="G123" s="53"/>
    </row>
    <row r="124" spans="1:7">
      <c r="A124">
        <f>IFERROR(IF(B124="",0,IF(VALUE(LEFT(B124,1))&gt;3,VLOOKUP(VALUE(B124),PROYECCIONES!B:D,3,FALSE),0)),1 + COUNTIF($A$2:A123,"&gt;0"))</f>
        <v>0</v>
      </c>
      <c r="C124" s="52"/>
      <c r="D124" s="53"/>
      <c r="E124" s="53"/>
      <c r="F124" s="53"/>
      <c r="G124" s="53"/>
    </row>
    <row r="125" spans="1:7">
      <c r="A125">
        <f>IFERROR(IF(B125="",0,IF(VALUE(LEFT(B125,1))&gt;3,VLOOKUP(VALUE(B125),PROYECCIONES!B:D,3,FALSE),0)),1 + COUNTIF($A$2:A124,"&gt;0"))</f>
        <v>0</v>
      </c>
      <c r="C125" s="52"/>
      <c r="D125" s="53"/>
      <c r="E125" s="53"/>
      <c r="F125" s="53"/>
      <c r="G125" s="53"/>
    </row>
    <row r="126" spans="1:7">
      <c r="A126">
        <f>IFERROR(IF(B126="",0,IF(VALUE(LEFT(B126,1))&gt;3,VLOOKUP(VALUE(B126),PROYECCIONES!B:D,3,FALSE),0)),1 + COUNTIF($A$2:A125,"&gt;0"))</f>
        <v>0</v>
      </c>
      <c r="C126" s="52"/>
      <c r="D126" s="53"/>
      <c r="E126" s="53"/>
      <c r="F126" s="53"/>
      <c r="G126" s="53"/>
    </row>
    <row r="127" spans="1:7">
      <c r="A127">
        <f>IFERROR(IF(B127="",0,IF(VALUE(LEFT(B127,1))&gt;3,VLOOKUP(VALUE(B127),PROYECCIONES!B:D,3,FALSE),0)),1 + COUNTIF($A$2:A126,"&gt;0"))</f>
        <v>0</v>
      </c>
      <c r="C127" s="52"/>
      <c r="D127" s="53"/>
      <c r="E127" s="53"/>
      <c r="F127" s="53"/>
      <c r="G127" s="53"/>
    </row>
    <row r="128" spans="1:7">
      <c r="A128">
        <f>IFERROR(IF(B128="",0,IF(VALUE(LEFT(B128,1))&gt;3,VLOOKUP(VALUE(B128),PROYECCIONES!B:D,3,FALSE),0)),1 + COUNTIF($A$2:A127,"&gt;0"))</f>
        <v>0</v>
      </c>
      <c r="C128" s="52"/>
      <c r="D128" s="53"/>
      <c r="E128" s="53"/>
      <c r="F128" s="53"/>
      <c r="G128" s="53"/>
    </row>
    <row r="129" spans="1:7">
      <c r="A129">
        <f>IFERROR(IF(B129="",0,IF(VALUE(LEFT(B129,1))&gt;3,VLOOKUP(VALUE(B129),PROYECCIONES!B:D,3,FALSE),0)),1 + COUNTIF($A$2:A128,"&gt;0"))</f>
        <v>0</v>
      </c>
      <c r="C129" s="52"/>
      <c r="D129" s="53"/>
      <c r="E129" s="53"/>
      <c r="F129" s="53"/>
      <c r="G129" s="53"/>
    </row>
    <row r="130" spans="1:7">
      <c r="A130">
        <f>IFERROR(IF(B130="",0,IF(VALUE(LEFT(B130,1))&gt;3,VLOOKUP(VALUE(B130),PROYECCIONES!B:D,3,FALSE),0)),1 + COUNTIF($A$2:A129,"&gt;0"))</f>
        <v>0</v>
      </c>
      <c r="C130" s="52"/>
      <c r="D130" s="53"/>
      <c r="E130" s="53"/>
      <c r="F130" s="53"/>
      <c r="G130" s="53"/>
    </row>
    <row r="131" spans="1:7">
      <c r="A131">
        <f>IFERROR(IF(B131="",0,IF(VALUE(LEFT(B131,1))&gt;3,VLOOKUP(VALUE(B131),PROYECCIONES!B:D,3,FALSE),0)),1 + COUNTIF($A$2:A130,"&gt;0"))</f>
        <v>0</v>
      </c>
      <c r="C131" s="52"/>
      <c r="D131" s="53"/>
      <c r="E131" s="53"/>
      <c r="F131" s="53"/>
      <c r="G131" s="53"/>
    </row>
    <row r="132" spans="1:7">
      <c r="A132">
        <f>IFERROR(IF(B132="",0,IF(VALUE(LEFT(B132,1))&gt;3,VLOOKUP(VALUE(B132),PROYECCIONES!B:D,3,FALSE),0)),1 + COUNTIF($A$2:A131,"&gt;0"))</f>
        <v>0</v>
      </c>
      <c r="C132" s="52"/>
      <c r="D132" s="53"/>
      <c r="E132" s="53"/>
      <c r="F132" s="53"/>
      <c r="G132" s="53"/>
    </row>
    <row r="133" spans="1:7">
      <c r="A133">
        <f>IFERROR(IF(B133="",0,IF(VALUE(LEFT(B133,1))&gt;3,VLOOKUP(VALUE(B133),PROYECCIONES!B:D,3,FALSE),0)),1 + COUNTIF($A$2:A132,"&gt;0"))</f>
        <v>0</v>
      </c>
      <c r="C133" s="52"/>
      <c r="D133" s="53"/>
      <c r="E133" s="53"/>
      <c r="F133" s="53"/>
      <c r="G133" s="53"/>
    </row>
    <row r="134" spans="1:7">
      <c r="A134">
        <f>IFERROR(IF(B134="",0,IF(VALUE(LEFT(B134,1))&gt;3,VLOOKUP(VALUE(B134),PROYECCIONES!B:D,3,FALSE),0)),1 + COUNTIF($A$2:A133,"&gt;0"))</f>
        <v>0</v>
      </c>
      <c r="C134" s="52"/>
      <c r="D134" s="53"/>
      <c r="E134" s="53"/>
      <c r="F134" s="53"/>
      <c r="G134" s="53"/>
    </row>
    <row r="135" spans="1:7">
      <c r="A135">
        <f>IFERROR(IF(B135="",0,IF(VALUE(LEFT(B135,1))&gt;3,VLOOKUP(VALUE(B135),PROYECCIONES!B:D,3,FALSE),0)),1 + COUNTIF($A$2:A134,"&gt;0"))</f>
        <v>0</v>
      </c>
      <c r="C135" s="52"/>
      <c r="D135" s="53"/>
      <c r="E135" s="53"/>
      <c r="F135" s="53"/>
      <c r="G135" s="53"/>
    </row>
    <row r="136" spans="1:7">
      <c r="A136">
        <f>IFERROR(IF(B136="",0,IF(VALUE(LEFT(B136,1))&gt;3,VLOOKUP(VALUE(B136),PROYECCIONES!B:D,3,FALSE),0)),1 + COUNTIF($A$2:A135,"&gt;0"))</f>
        <v>0</v>
      </c>
      <c r="C136" s="52"/>
      <c r="D136" s="53"/>
      <c r="E136" s="53"/>
      <c r="F136" s="53"/>
      <c r="G136" s="53"/>
    </row>
    <row r="137" spans="1:7">
      <c r="A137">
        <f>IFERROR(IF(B137="",0,IF(VALUE(LEFT(B137,1))&gt;3,VLOOKUP(VALUE(B137),PROYECCIONES!B:D,3,FALSE),0)),1 + COUNTIF($A$2:A136,"&gt;0"))</f>
        <v>0</v>
      </c>
      <c r="C137" s="52"/>
      <c r="D137" s="53"/>
      <c r="E137" s="53"/>
      <c r="F137" s="53"/>
      <c r="G137" s="53"/>
    </row>
    <row r="138" spans="1:7">
      <c r="A138">
        <f>IFERROR(IF(B138="",0,IF(VALUE(LEFT(B138,1))&gt;3,VLOOKUP(VALUE(B138),PROYECCIONES!B:D,3,FALSE),0)),1 + COUNTIF($A$2:A137,"&gt;0"))</f>
        <v>0</v>
      </c>
      <c r="C138" s="52"/>
      <c r="D138" s="53"/>
      <c r="E138" s="53"/>
      <c r="F138" s="53"/>
      <c r="G138" s="53"/>
    </row>
    <row r="139" spans="1:7">
      <c r="A139">
        <f>IFERROR(IF(B139="",0,IF(VALUE(LEFT(B139,1))&gt;3,VLOOKUP(VALUE(B139),PROYECCIONES!B:D,3,FALSE),0)),1 + COUNTIF($A$2:A138,"&gt;0"))</f>
        <v>0</v>
      </c>
      <c r="C139" s="52"/>
      <c r="D139" s="53"/>
      <c r="E139" s="53"/>
      <c r="F139" s="53"/>
      <c r="G139" s="53"/>
    </row>
    <row r="140" spans="1:7">
      <c r="A140">
        <f>IFERROR(IF(B140="",0,IF(VALUE(LEFT(B140,1))&gt;3,VLOOKUP(VALUE(B140),PROYECCIONES!B:D,3,FALSE),0)),1 + COUNTIF($A$2:A139,"&gt;0"))</f>
        <v>0</v>
      </c>
      <c r="C140" s="52"/>
      <c r="D140" s="53"/>
      <c r="E140" s="53"/>
      <c r="F140" s="53"/>
      <c r="G140" s="53"/>
    </row>
    <row r="141" spans="1:7">
      <c r="A141">
        <f>IFERROR(IF(B141="",0,IF(VALUE(LEFT(B141,1))&gt;3,VLOOKUP(VALUE(B141),PROYECCIONES!B:D,3,FALSE),0)),1 + COUNTIF($A$2:A140,"&gt;0"))</f>
        <v>0</v>
      </c>
      <c r="C141" s="52"/>
      <c r="D141" s="53"/>
      <c r="E141" s="53"/>
      <c r="F141" s="53"/>
      <c r="G141" s="53"/>
    </row>
    <row r="142" spans="1:7">
      <c r="A142">
        <f>IFERROR(IF(B142="",0,IF(VALUE(LEFT(B142,1))&gt;3,VLOOKUP(VALUE(B142),PROYECCIONES!B:D,3,FALSE),0)),1 + COUNTIF($A$2:A141,"&gt;0"))</f>
        <v>0</v>
      </c>
      <c r="C142" s="52"/>
      <c r="D142" s="53"/>
      <c r="E142" s="53"/>
      <c r="F142" s="53"/>
      <c r="G142" s="53"/>
    </row>
    <row r="143" spans="1:7">
      <c r="A143">
        <f>IFERROR(IF(B143="",0,IF(VALUE(LEFT(B143,1))&gt;3,VLOOKUP(VALUE(B143),PROYECCIONES!B:D,3,FALSE),0)),1 + COUNTIF($A$2:A142,"&gt;0"))</f>
        <v>0</v>
      </c>
      <c r="C143" s="52"/>
      <c r="D143" s="53"/>
      <c r="E143" s="53"/>
      <c r="F143" s="53"/>
      <c r="G143" s="53"/>
    </row>
    <row r="144" spans="1:7">
      <c r="A144">
        <f>IFERROR(IF(B144="",0,IF(VALUE(LEFT(B144,1))&gt;3,VLOOKUP(VALUE(B144),PROYECCIONES!B:D,3,FALSE),0)),1 + COUNTIF($A$2:A143,"&gt;0"))</f>
        <v>0</v>
      </c>
      <c r="C144" s="52"/>
      <c r="D144" s="53"/>
      <c r="E144" s="53"/>
      <c r="F144" s="53"/>
      <c r="G144" s="53"/>
    </row>
    <row r="145" spans="1:7">
      <c r="A145">
        <f>IFERROR(IF(B145="",0,IF(VALUE(LEFT(B145,1))&gt;3,VLOOKUP(VALUE(B145),PROYECCIONES!B:D,3,FALSE),0)),1 + COUNTIF($A$2:A144,"&gt;0"))</f>
        <v>0</v>
      </c>
      <c r="C145" s="52"/>
      <c r="D145" s="53"/>
      <c r="E145" s="53"/>
      <c r="F145" s="53"/>
      <c r="G145" s="53"/>
    </row>
    <row r="146" spans="1:7">
      <c r="A146">
        <f>IFERROR(IF(B146="",0,IF(VALUE(LEFT(B146,1))&gt;3,VLOOKUP(VALUE(B146),PROYECCIONES!B:D,3,FALSE),0)),1 + COUNTIF($A$2:A145,"&gt;0"))</f>
        <v>0</v>
      </c>
      <c r="C146" s="52"/>
      <c r="D146" s="53"/>
      <c r="E146" s="53"/>
      <c r="F146" s="53"/>
      <c r="G146" s="53"/>
    </row>
    <row r="147" spans="1:7">
      <c r="A147">
        <f>IFERROR(IF(B147="",0,IF(VALUE(LEFT(B147,1))&gt;3,VLOOKUP(VALUE(B147),PROYECCIONES!B:D,3,FALSE),0)),1 + COUNTIF($A$2:A146,"&gt;0"))</f>
        <v>0</v>
      </c>
      <c r="C147" s="52"/>
      <c r="D147" s="53"/>
      <c r="E147" s="53"/>
      <c r="F147" s="53"/>
      <c r="G147" s="53"/>
    </row>
    <row r="148" spans="1:7">
      <c r="A148">
        <f>IFERROR(IF(B148="",0,IF(VALUE(LEFT(B148,1))&gt;3,VLOOKUP(VALUE(B148),PROYECCIONES!B:D,3,FALSE),0)),1 + COUNTIF($A$2:A147,"&gt;0"))</f>
        <v>0</v>
      </c>
      <c r="C148" s="52"/>
      <c r="D148" s="53"/>
      <c r="E148" s="53"/>
      <c r="F148" s="53"/>
      <c r="G148" s="53"/>
    </row>
    <row r="149" spans="1:7">
      <c r="A149">
        <f>IFERROR(IF(B149="",0,IF(VALUE(LEFT(B149,1))&gt;3,VLOOKUP(VALUE(B149),PROYECCIONES!B:D,3,FALSE),0)),1 + COUNTIF($A$2:A148,"&gt;0"))</f>
        <v>0</v>
      </c>
      <c r="C149" s="52"/>
      <c r="D149" s="53"/>
      <c r="E149" s="53"/>
      <c r="F149" s="53"/>
      <c r="G149" s="53"/>
    </row>
    <row r="150" spans="1:7">
      <c r="A150">
        <f>IFERROR(IF(B150="",0,IF(VALUE(LEFT(B150,1))&gt;3,VLOOKUP(VALUE(B150),PROYECCIONES!B:D,3,FALSE),0)),1 + COUNTIF($A$2:A149,"&gt;0"))</f>
        <v>0</v>
      </c>
      <c r="C150" s="52"/>
      <c r="D150" s="53"/>
      <c r="E150" s="53"/>
      <c r="F150" s="53"/>
      <c r="G150" s="53"/>
    </row>
    <row r="151" spans="1:7">
      <c r="A151">
        <f>IFERROR(IF(B151="",0,IF(VALUE(LEFT(B151,1))&gt;3,VLOOKUP(VALUE(B151),PROYECCIONES!B:D,3,FALSE),0)),1 + COUNTIF($A$2:A150,"&gt;0"))</f>
        <v>0</v>
      </c>
      <c r="C151" s="52"/>
      <c r="D151" s="53"/>
      <c r="E151" s="53"/>
      <c r="F151" s="53"/>
      <c r="G151" s="53"/>
    </row>
    <row r="152" spans="1:7">
      <c r="A152">
        <f>IFERROR(IF(B152="",0,IF(VALUE(LEFT(B152,1))&gt;3,VLOOKUP(VALUE(B152),PROYECCIONES!B:D,3,FALSE),0)),1 + COUNTIF($A$2:A151,"&gt;0"))</f>
        <v>0</v>
      </c>
      <c r="C152" s="52"/>
      <c r="D152" s="53"/>
      <c r="E152" s="53"/>
      <c r="F152" s="53"/>
      <c r="G152" s="53"/>
    </row>
    <row r="153" spans="1:7">
      <c r="A153">
        <f>IFERROR(IF(B153="",0,IF(VALUE(LEFT(B153,1))&gt;3,VLOOKUP(VALUE(B153),PROYECCIONES!B:D,3,FALSE),0)),1 + COUNTIF($A$2:A152,"&gt;0"))</f>
        <v>0</v>
      </c>
      <c r="C153" s="52"/>
      <c r="D153" s="53"/>
      <c r="E153" s="53"/>
      <c r="F153" s="53"/>
      <c r="G153" s="53"/>
    </row>
    <row r="154" spans="1:7">
      <c r="A154">
        <f>IFERROR(IF(B154="",0,IF(VALUE(LEFT(B154,1))&gt;3,VLOOKUP(VALUE(B154),PROYECCIONES!B:D,3,FALSE),0)),1 + COUNTIF($A$2:A153,"&gt;0"))</f>
        <v>0</v>
      </c>
      <c r="C154" s="52"/>
      <c r="D154" s="53"/>
      <c r="E154" s="53"/>
      <c r="F154" s="53"/>
      <c r="G154" s="53"/>
    </row>
    <row r="155" spans="1:7">
      <c r="A155">
        <f>IFERROR(IF(B155="",0,IF(VALUE(LEFT(B155,1))&gt;3,VLOOKUP(VALUE(B155),PROYECCIONES!B:D,3,FALSE),0)),1 + COUNTIF($A$2:A154,"&gt;0"))</f>
        <v>0</v>
      </c>
      <c r="C155" s="52"/>
      <c r="D155" s="53"/>
      <c r="E155" s="53"/>
      <c r="F155" s="53"/>
      <c r="G155" s="53"/>
    </row>
    <row r="156" spans="1:7">
      <c r="A156">
        <f>IFERROR(IF(B156="",0,IF(VALUE(LEFT(B156,1))&gt;3,VLOOKUP(VALUE(B156),PROYECCIONES!B:D,3,FALSE),0)),1 + COUNTIF($A$2:A155,"&gt;0"))</f>
        <v>0</v>
      </c>
      <c r="C156" s="52"/>
      <c r="D156" s="53"/>
      <c r="E156" s="53"/>
      <c r="F156" s="53"/>
      <c r="G156" s="53"/>
    </row>
    <row r="157" spans="1:7">
      <c r="A157">
        <f>IFERROR(IF(B157="",0,IF(VALUE(LEFT(B157,1))&gt;3,VLOOKUP(VALUE(B157),PROYECCIONES!B:D,3,FALSE),0)),1 + COUNTIF($A$2:A156,"&gt;0"))</f>
        <v>0</v>
      </c>
      <c r="C157" s="52"/>
      <c r="D157" s="53"/>
      <c r="E157" s="53"/>
      <c r="F157" s="53"/>
      <c r="G157" s="53"/>
    </row>
    <row r="158" spans="1:7">
      <c r="A158">
        <f>IFERROR(IF(B158="",0,IF(VALUE(LEFT(B158,1))&gt;3,VLOOKUP(VALUE(B158),PROYECCIONES!B:D,3,FALSE),0)),1 + COUNTIF($A$2:A157,"&gt;0"))</f>
        <v>0</v>
      </c>
      <c r="C158" s="52"/>
      <c r="D158" s="53"/>
      <c r="E158" s="53"/>
      <c r="F158" s="53"/>
      <c r="G158" s="53"/>
    </row>
    <row r="159" spans="1:7">
      <c r="A159">
        <f>IFERROR(IF(B159="",0,IF(VALUE(LEFT(B159,1))&gt;3,VLOOKUP(VALUE(B159),PROYECCIONES!B:D,3,FALSE),0)),1 + COUNTIF($A$2:A158,"&gt;0"))</f>
        <v>0</v>
      </c>
      <c r="C159" s="52"/>
      <c r="D159" s="53"/>
      <c r="E159" s="53"/>
      <c r="F159" s="53"/>
      <c r="G159" s="53"/>
    </row>
    <row r="160" spans="1:7">
      <c r="A160">
        <f>IFERROR(IF(B160="",0,IF(VALUE(LEFT(B160,1))&gt;3,VLOOKUP(VALUE(B160),PROYECCIONES!B:D,3,FALSE),0)),1 + COUNTIF($A$2:A159,"&gt;0"))</f>
        <v>0</v>
      </c>
      <c r="C160" s="52"/>
      <c r="D160" s="53"/>
      <c r="E160" s="53"/>
      <c r="F160" s="53"/>
      <c r="G160" s="53"/>
    </row>
    <row r="161" spans="1:7">
      <c r="A161">
        <f>IFERROR(IF(B161="",0,IF(VALUE(LEFT(B161,1))&gt;3,VLOOKUP(VALUE(B161),PROYECCIONES!B:D,3,FALSE),0)),1 + COUNTIF($A$2:A160,"&gt;0"))</f>
        <v>0</v>
      </c>
      <c r="C161" s="52"/>
      <c r="D161" s="53"/>
      <c r="E161" s="53"/>
      <c r="F161" s="53"/>
      <c r="G161" s="53"/>
    </row>
    <row r="162" spans="1:7">
      <c r="A162">
        <f>IFERROR(IF(B162="",0,IF(VALUE(LEFT(B162,1))&gt;3,VLOOKUP(VALUE(B162),PROYECCIONES!B:D,3,FALSE),0)),1 + COUNTIF($A$2:A161,"&gt;0"))</f>
        <v>0</v>
      </c>
      <c r="C162" s="52"/>
      <c r="D162" s="53"/>
      <c r="E162" s="53"/>
      <c r="F162" s="53"/>
      <c r="G162" s="53"/>
    </row>
    <row r="163" spans="1:7">
      <c r="A163">
        <f>IFERROR(IF(B163="",0,IF(VALUE(LEFT(B163,1))&gt;3,VLOOKUP(VALUE(B163),PROYECCIONES!B:D,3,FALSE),0)),1 + COUNTIF($A$2:A162,"&gt;0"))</f>
        <v>0</v>
      </c>
      <c r="C163" s="52"/>
      <c r="D163" s="53"/>
      <c r="E163" s="53"/>
      <c r="F163" s="53"/>
      <c r="G163" s="53"/>
    </row>
    <row r="164" spans="1:7">
      <c r="A164">
        <f>IFERROR(IF(B164="",0,IF(VALUE(LEFT(B164,1))&gt;3,VLOOKUP(VALUE(B164),PROYECCIONES!B:D,3,FALSE),0)),1 + COUNTIF($A$2:A163,"&gt;0"))</f>
        <v>0</v>
      </c>
      <c r="C164" s="52"/>
      <c r="D164" s="53"/>
      <c r="E164" s="53"/>
      <c r="F164" s="53"/>
      <c r="G164" s="53"/>
    </row>
    <row r="165" spans="1:7">
      <c r="A165">
        <f>IFERROR(IF(B165="",0,IF(VALUE(LEFT(B165,1))&gt;3,VLOOKUP(VALUE(B165),PROYECCIONES!B:D,3,FALSE),0)),1 + COUNTIF($A$2:A164,"&gt;0"))</f>
        <v>0</v>
      </c>
      <c r="C165" s="52"/>
      <c r="D165" s="53"/>
      <c r="E165" s="53"/>
      <c r="F165" s="53"/>
      <c r="G165" s="53"/>
    </row>
    <row r="166" spans="1:7">
      <c r="A166">
        <f>IFERROR(IF(B166="",0,IF(VALUE(LEFT(B166,1))&gt;3,VLOOKUP(VALUE(B166),PROYECCIONES!B:D,3,FALSE),0)),1 + COUNTIF($A$2:A165,"&gt;0"))</f>
        <v>0</v>
      </c>
      <c r="C166" s="52"/>
      <c r="D166" s="53"/>
      <c r="E166" s="53"/>
      <c r="F166" s="53"/>
      <c r="G166" s="53"/>
    </row>
    <row r="167" spans="1:7">
      <c r="A167">
        <f>IFERROR(IF(B167="",0,IF(VALUE(LEFT(B167,1))&gt;3,VLOOKUP(VALUE(B167),PROYECCIONES!B:D,3,FALSE),0)),1 + COUNTIF($A$2:A166,"&gt;0"))</f>
        <v>0</v>
      </c>
      <c r="C167" s="52"/>
      <c r="D167" s="53"/>
      <c r="E167" s="53"/>
      <c r="F167" s="53"/>
      <c r="G167" s="53"/>
    </row>
    <row r="168" spans="1:7">
      <c r="A168">
        <f>IFERROR(IF(B168="",0,IF(VALUE(LEFT(B168,1))&gt;3,VLOOKUP(VALUE(B168),PROYECCIONES!B:D,3,FALSE),0)),1 + COUNTIF($A$2:A167,"&gt;0"))</f>
        <v>0</v>
      </c>
      <c r="C168" s="52"/>
      <c r="D168" s="53"/>
      <c r="E168" s="53"/>
      <c r="F168" s="53"/>
      <c r="G168" s="53"/>
    </row>
    <row r="169" spans="1:7">
      <c r="A169">
        <f>IFERROR(IF(B169="",0,IF(VALUE(LEFT(B169,1))&gt;3,VLOOKUP(VALUE(B169),PROYECCIONES!B:D,3,FALSE),0)),1 + COUNTIF($A$2:A168,"&gt;0"))</f>
        <v>0</v>
      </c>
      <c r="C169" s="52"/>
      <c r="D169" s="53"/>
      <c r="E169" s="53"/>
      <c r="F169" s="53"/>
      <c r="G169" s="53"/>
    </row>
    <row r="170" spans="1:7">
      <c r="A170">
        <f>IFERROR(IF(B170="",0,IF(VALUE(LEFT(B170,1))&gt;3,VLOOKUP(VALUE(B170),PROYECCIONES!B:D,3,FALSE),0)),1 + COUNTIF($A$2:A169,"&gt;0"))</f>
        <v>0</v>
      </c>
      <c r="C170" s="52"/>
      <c r="D170" s="53"/>
      <c r="E170" s="53"/>
      <c r="F170" s="53"/>
      <c r="G170" s="53"/>
    </row>
    <row r="171" spans="1:7">
      <c r="A171">
        <f>IFERROR(IF(B171="",0,IF(VALUE(LEFT(B171,1))&gt;3,VLOOKUP(VALUE(B171),PROYECCIONES!B:D,3,FALSE),0)),1 + COUNTIF($A$2:A170,"&gt;0"))</f>
        <v>0</v>
      </c>
      <c r="C171" s="52"/>
      <c r="D171" s="53"/>
      <c r="E171" s="53"/>
      <c r="F171" s="53"/>
      <c r="G171" s="53"/>
    </row>
    <row r="172" spans="1:7">
      <c r="A172">
        <f>IFERROR(IF(B172="",0,IF(VALUE(LEFT(B172,1))&gt;3,VLOOKUP(VALUE(B172),PROYECCIONES!B:D,3,FALSE),0)),1 + COUNTIF($A$2:A171,"&gt;0"))</f>
        <v>0</v>
      </c>
      <c r="C172" s="52"/>
      <c r="D172" s="53"/>
      <c r="E172" s="53"/>
      <c r="F172" s="53"/>
      <c r="G172" s="53"/>
    </row>
    <row r="173" spans="1:7">
      <c r="A173">
        <f>IFERROR(IF(B173="",0,IF(VALUE(LEFT(B173,1))&gt;3,VLOOKUP(VALUE(B173),PROYECCIONES!B:D,3,FALSE),0)),1 + COUNTIF($A$2:A172,"&gt;0"))</f>
        <v>0</v>
      </c>
      <c r="C173" s="52"/>
      <c r="D173" s="53"/>
      <c r="E173" s="53"/>
      <c r="F173" s="53"/>
      <c r="G173" s="53"/>
    </row>
    <row r="174" spans="1:7">
      <c r="A174">
        <f>IFERROR(IF(B174="",0,IF(VALUE(LEFT(B174,1))&gt;3,VLOOKUP(VALUE(B174),PROYECCIONES!B:D,3,FALSE),0)),1 + COUNTIF($A$2:A173,"&gt;0"))</f>
        <v>0</v>
      </c>
      <c r="C174" s="52"/>
      <c r="D174" s="53"/>
      <c r="E174" s="53"/>
      <c r="F174" s="53"/>
      <c r="G174" s="53"/>
    </row>
    <row r="175" spans="1:7">
      <c r="A175">
        <f>IFERROR(IF(B175="",0,IF(VALUE(LEFT(B175,1))&gt;3,VLOOKUP(VALUE(B175),PROYECCIONES!B:D,3,FALSE),0)),1 + COUNTIF($A$2:A174,"&gt;0"))</f>
        <v>0</v>
      </c>
      <c r="C175" s="52"/>
      <c r="D175" s="53"/>
      <c r="E175" s="53"/>
      <c r="F175" s="53"/>
      <c r="G175" s="53"/>
    </row>
    <row r="176" spans="1:7">
      <c r="A176">
        <f>IFERROR(IF(B176="",0,IF(VALUE(LEFT(B176,1))&gt;3,VLOOKUP(VALUE(B176),PROYECCIONES!B:D,3,FALSE),0)),1 + COUNTIF($A$2:A175,"&gt;0"))</f>
        <v>0</v>
      </c>
      <c r="C176" s="52"/>
      <c r="D176" s="53"/>
      <c r="E176" s="53"/>
      <c r="F176" s="53"/>
      <c r="G176" s="53"/>
    </row>
    <row r="177" spans="1:7">
      <c r="A177">
        <f>IFERROR(IF(B177="",0,IF(VALUE(LEFT(B177,1))&gt;3,VLOOKUP(VALUE(B177),PROYECCIONES!B:D,3,FALSE),0)),1 + COUNTIF($A$2:A176,"&gt;0"))</f>
        <v>0</v>
      </c>
      <c r="C177" s="52"/>
      <c r="D177" s="53"/>
      <c r="E177" s="53"/>
      <c r="F177" s="53"/>
      <c r="G177" s="53"/>
    </row>
    <row r="178" spans="1:7">
      <c r="A178">
        <f>IFERROR(IF(B178="",0,IF(VALUE(LEFT(B178,1))&gt;3,VLOOKUP(VALUE(B178),PROYECCIONES!B:D,3,FALSE),0)),1 + COUNTIF($A$2:A177,"&gt;0"))</f>
        <v>0</v>
      </c>
      <c r="C178" s="52"/>
      <c r="D178" s="53"/>
      <c r="E178" s="53"/>
      <c r="F178" s="53"/>
      <c r="G178" s="53"/>
    </row>
    <row r="179" spans="1:7">
      <c r="A179">
        <f>IFERROR(IF(B179="",0,IF(VALUE(LEFT(B179,1))&gt;3,VLOOKUP(VALUE(B179),PROYECCIONES!B:D,3,FALSE),0)),1 + COUNTIF($A$2:A178,"&gt;0"))</f>
        <v>0</v>
      </c>
      <c r="C179" s="52"/>
      <c r="D179" s="53"/>
      <c r="E179" s="53"/>
      <c r="F179" s="53"/>
      <c r="G179" s="53"/>
    </row>
    <row r="180" spans="1:7">
      <c r="A180">
        <f>IFERROR(IF(B180="",0,IF(VALUE(LEFT(B180,1))&gt;3,VLOOKUP(VALUE(B180),PROYECCIONES!B:D,3,FALSE),0)),1 + COUNTIF($A$2:A179,"&gt;0"))</f>
        <v>0</v>
      </c>
      <c r="C180" s="52"/>
      <c r="D180" s="53"/>
      <c r="E180" s="53"/>
      <c r="F180" s="53"/>
      <c r="G180" s="53"/>
    </row>
    <row r="181" spans="1:7">
      <c r="A181">
        <f>IFERROR(IF(B181="",0,IF(VALUE(LEFT(B181,1))&gt;3,VLOOKUP(VALUE(B181),PROYECCIONES!B:D,3,FALSE),0)),1 + COUNTIF($A$2:A180,"&gt;0"))</f>
        <v>0</v>
      </c>
      <c r="C181" s="52"/>
      <c r="D181" s="53"/>
      <c r="E181" s="53"/>
      <c r="F181" s="53"/>
      <c r="G181" s="53"/>
    </row>
    <row r="182" spans="1:7">
      <c r="A182">
        <f>IFERROR(IF(B182="",0,IF(VALUE(LEFT(B182,1))&gt;3,VLOOKUP(VALUE(B182),PROYECCIONES!B:D,3,FALSE),0)),1 + COUNTIF($A$2:A181,"&gt;0"))</f>
        <v>0</v>
      </c>
      <c r="C182" s="52"/>
      <c r="D182" s="53"/>
      <c r="E182" s="53"/>
      <c r="F182" s="53"/>
      <c r="G182" s="53"/>
    </row>
    <row r="183" spans="1:7">
      <c r="A183">
        <f>IFERROR(IF(B183="",0,IF(VALUE(LEFT(B183,1))&gt;3,VLOOKUP(VALUE(B183),PROYECCIONES!B:D,3,FALSE),0)),1 + COUNTIF($A$2:A182,"&gt;0"))</f>
        <v>0</v>
      </c>
      <c r="C183" s="52"/>
      <c r="D183" s="53"/>
      <c r="E183" s="53"/>
      <c r="F183" s="53"/>
      <c r="G183" s="53"/>
    </row>
    <row r="184" spans="1:7">
      <c r="A184">
        <f>IFERROR(IF(B184="",0,IF(VALUE(LEFT(B184,1))&gt;3,VLOOKUP(VALUE(B184),PROYECCIONES!B:D,3,FALSE),0)),1 + COUNTIF($A$2:A183,"&gt;0"))</f>
        <v>0</v>
      </c>
      <c r="C184" s="52"/>
      <c r="D184" s="53"/>
      <c r="E184" s="53"/>
      <c r="F184" s="53"/>
      <c r="G184" s="53"/>
    </row>
    <row r="185" spans="1:7">
      <c r="A185">
        <f>IFERROR(IF(B185="",0,IF(VALUE(LEFT(B185,1))&gt;3,VLOOKUP(VALUE(B185),PROYECCIONES!B:D,3,FALSE),0)),1 + COUNTIF($A$2:A184,"&gt;0"))</f>
        <v>0</v>
      </c>
      <c r="C185" s="52"/>
      <c r="D185" s="53"/>
      <c r="E185" s="53"/>
      <c r="F185" s="53"/>
      <c r="G185" s="53"/>
    </row>
    <row r="186" spans="1:7">
      <c r="A186">
        <f>IFERROR(IF(B186="",0,IF(VALUE(LEFT(B186,1))&gt;3,VLOOKUP(VALUE(B186),PROYECCIONES!B:D,3,FALSE),0)),1 + COUNTIF($A$2:A185,"&gt;0"))</f>
        <v>0</v>
      </c>
      <c r="C186" s="52"/>
      <c r="D186" s="53"/>
      <c r="E186" s="53"/>
      <c r="F186" s="53"/>
      <c r="G186" s="53"/>
    </row>
    <row r="187" spans="1:7">
      <c r="A187">
        <f>IFERROR(IF(B187="",0,IF(VALUE(LEFT(B187,1))&gt;3,VLOOKUP(VALUE(B187),PROYECCIONES!B:D,3,FALSE),0)),1 + COUNTIF($A$2:A186,"&gt;0"))</f>
        <v>0</v>
      </c>
      <c r="C187" s="52"/>
      <c r="D187" s="53"/>
      <c r="E187" s="53"/>
      <c r="F187" s="53"/>
      <c r="G187" s="53"/>
    </row>
    <row r="188" spans="1:7">
      <c r="A188">
        <f>IFERROR(IF(B188="",0,IF(VALUE(LEFT(B188,1))&gt;3,VLOOKUP(VALUE(B188),PROYECCIONES!B:D,3,FALSE),0)),1 + COUNTIF($A$2:A187,"&gt;0"))</f>
        <v>0</v>
      </c>
      <c r="C188" s="52"/>
      <c r="D188" s="53"/>
      <c r="E188" s="53"/>
      <c r="F188" s="53"/>
      <c r="G188" s="53"/>
    </row>
    <row r="189" spans="1:7">
      <c r="A189">
        <f>IFERROR(IF(B189="",0,IF(VALUE(LEFT(B189,1))&gt;3,VLOOKUP(VALUE(B189),PROYECCIONES!B:D,3,FALSE),0)),1 + COUNTIF($A$2:A188,"&gt;0"))</f>
        <v>0</v>
      </c>
      <c r="C189" s="52"/>
      <c r="D189" s="53"/>
      <c r="E189" s="53"/>
      <c r="F189" s="53"/>
      <c r="G189" s="53"/>
    </row>
    <row r="190" spans="1:7">
      <c r="A190">
        <f>IFERROR(IF(B190="",0,IF(VALUE(LEFT(B190,1))&gt;3,VLOOKUP(VALUE(B190),PROYECCIONES!B:D,3,FALSE),0)),1 + COUNTIF($A$2:A189,"&gt;0"))</f>
        <v>0</v>
      </c>
      <c r="C190" s="52"/>
      <c r="D190" s="53"/>
      <c r="E190" s="53"/>
      <c r="F190" s="53"/>
      <c r="G190" s="53"/>
    </row>
    <row r="191" spans="1:7">
      <c r="A191">
        <f>IFERROR(IF(B191="",0,IF(VALUE(LEFT(B191,1))&gt;3,VLOOKUP(VALUE(B191),PROYECCIONES!B:D,3,FALSE),0)),1 + COUNTIF($A$2:A190,"&gt;0"))</f>
        <v>0</v>
      </c>
      <c r="C191" s="52"/>
      <c r="D191" s="53"/>
      <c r="E191" s="53"/>
      <c r="F191" s="53"/>
      <c r="G191" s="53"/>
    </row>
    <row r="192" spans="1:7">
      <c r="A192">
        <f>IFERROR(IF(B192="",0,IF(VALUE(LEFT(B192,1))&gt;3,VLOOKUP(VALUE(B192),PROYECCIONES!B:D,3,FALSE),0)),1 + COUNTIF($A$2:A191,"&gt;0"))</f>
        <v>0</v>
      </c>
      <c r="C192" s="52"/>
      <c r="D192" s="53"/>
      <c r="E192" s="53"/>
      <c r="F192" s="53"/>
      <c r="G192" s="53"/>
    </row>
    <row r="193" spans="1:7">
      <c r="A193">
        <f>IFERROR(IF(B193="",0,IF(VALUE(LEFT(B193,1))&gt;3,VLOOKUP(VALUE(B193),PROYECCIONES!B:D,3,FALSE),0)),1 + COUNTIF($A$2:A192,"&gt;0"))</f>
        <v>0</v>
      </c>
      <c r="C193" s="52"/>
      <c r="D193" s="53"/>
      <c r="E193" s="53"/>
      <c r="F193" s="53"/>
      <c r="G193" s="53"/>
    </row>
    <row r="194" spans="1:7">
      <c r="A194">
        <f>IFERROR(IF(B194="",0,IF(VALUE(LEFT(B194,1))&gt;3,VLOOKUP(VALUE(B194),PROYECCIONES!B:D,3,FALSE),0)),1 + COUNTIF($A$2:A193,"&gt;0"))</f>
        <v>0</v>
      </c>
      <c r="C194" s="52"/>
      <c r="D194" s="53"/>
      <c r="E194" s="53"/>
      <c r="F194" s="53"/>
      <c r="G194" s="53"/>
    </row>
    <row r="195" spans="1:7">
      <c r="A195">
        <f>IFERROR(IF(B195="",0,IF(VALUE(LEFT(B195,1))&gt;3,VLOOKUP(VALUE(B195),PROYECCIONES!B:D,3,FALSE),0)),1 + COUNTIF($A$2:A194,"&gt;0"))</f>
        <v>0</v>
      </c>
      <c r="C195" s="52"/>
      <c r="D195" s="53"/>
      <c r="E195" s="53"/>
      <c r="F195" s="53"/>
      <c r="G195" s="53"/>
    </row>
    <row r="196" spans="1:7">
      <c r="A196">
        <f>IFERROR(IF(B196="",0,IF(VALUE(LEFT(B196,1))&gt;3,VLOOKUP(VALUE(B196),PROYECCIONES!B:D,3,FALSE),0)),1 + COUNTIF($A$2:A195,"&gt;0"))</f>
        <v>0</v>
      </c>
      <c r="C196" s="52"/>
      <c r="D196" s="53"/>
      <c r="E196" s="53"/>
      <c r="F196" s="53"/>
      <c r="G196" s="53"/>
    </row>
    <row r="197" spans="1:7">
      <c r="A197">
        <f>IFERROR(IF(B197="",0,IF(VALUE(LEFT(B197,1))&gt;3,VLOOKUP(VALUE(B197),PROYECCIONES!B:D,3,FALSE),0)),1 + COUNTIF($A$2:A196,"&gt;0"))</f>
        <v>0</v>
      </c>
    </row>
    <row r="198" spans="1:7">
      <c r="A198">
        <f>IFERROR(IF(B198="",0,IF(VALUE(LEFT(B198,1))&gt;3,VLOOKUP(VALUE(B198),PROYECCIONES!B:D,3,FALSE),0)),1 + COUNTIF($A$2:A197,"&gt;0"))</f>
        <v>0</v>
      </c>
    </row>
    <row r="199" spans="1:7">
      <c r="A199">
        <f>IFERROR(IF(B199="",0,IF(VALUE(LEFT(B199,1))&gt;3,VLOOKUP(VALUE(B199),PROYECCIONES!B:D,3,FALSE),0)),1 + COUNTIF($A$2:A198,"&gt;0"))</f>
        <v>0</v>
      </c>
    </row>
    <row r="200" spans="1:7">
      <c r="A200">
        <f>IFERROR(IF(B200="",0,IF(VALUE(LEFT(B200,1))&gt;3,VLOOKUP(VALUE(B200),PROYECCIONES!B:D,3,FALSE),0)),1 + COUNTIF($A$2:A199,"&gt;0"))</f>
        <v>0</v>
      </c>
    </row>
    <row r="201" spans="1:7">
      <c r="A201">
        <f>IFERROR(IF(B201="",0,IF(VALUE(LEFT(B201,1))&gt;3,VLOOKUP(VALUE(B201),PROYECCIONES!B:D,3,FALSE),0)),1 + COUNTIF($A$2:A200,"&gt;0"))</f>
        <v>0</v>
      </c>
    </row>
    <row r="202" spans="1:7">
      <c r="A202">
        <f>IFERROR(IF(B202="",0,IF(VALUE(LEFT(B202,1))&gt;3,VLOOKUP(VALUE(B202),PROYECCIONES!B:D,3,FALSE),0)),1 + COUNTIF($A$2:A201,"&gt;0"))</f>
        <v>0</v>
      </c>
    </row>
    <row r="203" spans="1:7">
      <c r="A203">
        <f>IFERROR(IF(B203="",0,IF(VALUE(LEFT(B203,1))&gt;3,VLOOKUP(VALUE(B203),PROYECCIONES!B:D,3,FALSE),0)),1 + COUNTIF($A$2:A202,"&gt;0"))</f>
        <v>0</v>
      </c>
    </row>
    <row r="204" spans="1:7">
      <c r="A204">
        <f>IFERROR(IF(B204="",0,IF(VALUE(LEFT(B204,1))&gt;3,VLOOKUP(VALUE(B204),PROYECCIONES!B:D,3,FALSE),0)),1 + COUNTIF($A$2:A203,"&gt;0"))</f>
        <v>0</v>
      </c>
    </row>
    <row r="205" spans="1:7">
      <c r="A205">
        <f>IFERROR(IF(B205="",0,IF(VALUE(LEFT(B205,1))&gt;3,VLOOKUP(VALUE(B205),PROYECCIONES!B:D,3,FALSE),0)),1 + COUNTIF($A$2:A204,"&gt;0"))</f>
        <v>0</v>
      </c>
    </row>
    <row r="206" spans="1:7">
      <c r="A206">
        <f>IFERROR(IF(B206="",0,IF(VALUE(LEFT(B206,1))&gt;3,VLOOKUP(VALUE(B206),PROYECCIONES!B:D,3,FALSE),0)),1 + COUNTIF($A$2:A205,"&gt;0"))</f>
        <v>0</v>
      </c>
    </row>
    <row r="207" spans="1:7">
      <c r="A207">
        <f>IFERROR(IF(B207="",0,IF(VALUE(LEFT(B207,1))&gt;3,VLOOKUP(VALUE(B207),PROYECCIONES!B:D,3,FALSE),0)),1 + COUNTIF($A$2:A206,"&gt;0"))</f>
        <v>0</v>
      </c>
    </row>
    <row r="208" spans="1:7">
      <c r="A208">
        <f>IFERROR(IF(B208="",0,IF(VALUE(LEFT(B208,1))&gt;3,VLOOKUP(VALUE(B208),PROYECCIONES!B:D,3,FALSE),0)),1 + COUNTIF($A$2:A207,"&gt;0"))</f>
        <v>0</v>
      </c>
    </row>
    <row r="209" spans="1:1">
      <c r="A209">
        <f>IFERROR(IF(B209="",0,IF(VALUE(LEFT(B209,1))&gt;3,VLOOKUP(VALUE(B209),PROYECCIONES!B:D,3,FALSE),0)),1 + COUNTIF($A$2:A208,"&gt;0"))</f>
        <v>0</v>
      </c>
    </row>
    <row r="210" spans="1:1">
      <c r="A210">
        <f>IFERROR(IF(B210="",0,IF(VALUE(LEFT(B210,1))&gt;3,VLOOKUP(VALUE(B210),PROYECCIONES!B:D,3,FALSE),0)),1 + COUNTIF($A$2:A209,"&gt;0"))</f>
        <v>0</v>
      </c>
    </row>
    <row r="211" spans="1:1">
      <c r="A211">
        <f>IFERROR(IF(B211="",0,IF(VALUE(LEFT(B211,1))&gt;3,VLOOKUP(VALUE(B211),PROYECCIONES!B:D,3,FALSE),0)),1 + COUNTIF($A$2:A210,"&gt;0"))</f>
        <v>0</v>
      </c>
    </row>
    <row r="212" spans="1:1">
      <c r="A212">
        <f>IFERROR(IF(B212="",0,IF(VALUE(LEFT(B212,1))&gt;3,VLOOKUP(VALUE(B212),PROYECCIONES!B:D,3,FALSE),0)),1 + COUNTIF($A$2:A211,"&gt;0"))</f>
        <v>0</v>
      </c>
    </row>
    <row r="213" spans="1:1">
      <c r="A213">
        <f>IFERROR(IF(B213="",0,IF(VALUE(LEFT(B213,1))&gt;3,VLOOKUP(VALUE(B213),PROYECCIONES!B:D,3,FALSE),0)),1 + COUNTIF($A$2:A212,"&gt;0"))</f>
        <v>0</v>
      </c>
    </row>
    <row r="214" spans="1:1">
      <c r="A214">
        <f>IFERROR(IF(B214="",0,IF(VALUE(LEFT(B214,1))&gt;3,VLOOKUP(VALUE(B214),PROYECCIONES!B:D,3,FALSE),0)),1 + COUNTIF($A$2:A213,"&gt;0"))</f>
        <v>0</v>
      </c>
    </row>
    <row r="215" spans="1:1">
      <c r="A215">
        <f>IFERROR(IF(B215="",0,IF(VALUE(LEFT(B215,1))&gt;3,VLOOKUP(VALUE(B215),PROYECCIONES!B:D,3,FALSE),0)),1 + COUNTIF($A$2:A214,"&gt;0"))</f>
        <v>0</v>
      </c>
    </row>
    <row r="216" spans="1:1">
      <c r="A216">
        <f>IFERROR(IF(B216="",0,IF(VALUE(LEFT(B216,1))&gt;3,VLOOKUP(VALUE(B216),PROYECCIONES!B:D,3,FALSE),0)),1 + COUNTIF($A$2:A215,"&gt;0"))</f>
        <v>0</v>
      </c>
    </row>
    <row r="217" spans="1:1">
      <c r="A217">
        <f>IFERROR(IF(B217="",0,IF(VALUE(LEFT(B217,1))&gt;3,VLOOKUP(VALUE(B217),PROYECCIONES!B:D,3,FALSE),0)),1 + COUNTIF($A$2:A216,"&gt;0"))</f>
        <v>0</v>
      </c>
    </row>
    <row r="218" spans="1:1">
      <c r="A218">
        <f>IFERROR(IF(B218="",0,IF(VALUE(LEFT(B218,1))&gt;3,VLOOKUP(VALUE(B218),PROYECCIONES!B:D,3,FALSE),0)),1 + COUNTIF($A$2:A217,"&gt;0"))</f>
        <v>0</v>
      </c>
    </row>
    <row r="219" spans="1:1">
      <c r="A219">
        <f>IFERROR(IF(B219="",0,IF(VALUE(LEFT(B219,1))&gt;3,VLOOKUP(VALUE(B219),PROYECCIONES!B:D,3,FALSE),0)),1 + COUNTIF($A$2:A218,"&gt;0"))</f>
        <v>0</v>
      </c>
    </row>
    <row r="220" spans="1:1">
      <c r="A220">
        <f>IFERROR(IF(B220="",0,IF(VALUE(LEFT(B220,1))&gt;3,VLOOKUP(VALUE(B220),PROYECCIONES!B:D,3,FALSE),0)),1 + COUNTIF($A$2:A219,"&gt;0"))</f>
        <v>0</v>
      </c>
    </row>
    <row r="221" spans="1:1">
      <c r="A221">
        <f>IFERROR(IF(B221="",0,IF(VALUE(LEFT(B221,1))&gt;3,VLOOKUP(VALUE(B221),PROYECCIONES!B:D,3,FALSE),0)),1 + COUNTIF($A$2:A220,"&gt;0"))</f>
        <v>0</v>
      </c>
    </row>
    <row r="222" spans="1:1">
      <c r="A222">
        <f>IFERROR(IF(B222="",0,IF(VALUE(LEFT(B222,1))&gt;3,VLOOKUP(VALUE(B222),PROYECCIONES!B:D,3,FALSE),0)),1 + COUNTIF($A$2:A221,"&gt;0"))</f>
        <v>0</v>
      </c>
    </row>
    <row r="223" spans="1:1">
      <c r="A223">
        <f>IFERROR(IF(B223="",0,IF(VALUE(LEFT(B223,1))&gt;3,VLOOKUP(VALUE(B223),PROYECCIONES!B:D,3,FALSE),0)),1 + COUNTIF($A$2:A222,"&gt;0"))</f>
        <v>0</v>
      </c>
    </row>
    <row r="224" spans="1:1">
      <c r="A224">
        <f>IFERROR(IF(B224="",0,IF(VALUE(LEFT(B224,1))&gt;3,VLOOKUP(VALUE(B224),PROYECCIONES!B:D,3,FALSE),0)),1 + COUNTIF($A$2:A223,"&gt;0"))</f>
        <v>0</v>
      </c>
    </row>
    <row r="225" spans="1:1">
      <c r="A225">
        <f>IFERROR(IF(B225="",0,IF(VALUE(LEFT(B225,1))&gt;3,VLOOKUP(VALUE(B225),PROYECCIONES!B:D,3,FALSE),0)),1 + COUNTIF($A$2:A224,"&gt;0"))</f>
        <v>0</v>
      </c>
    </row>
    <row r="226" spans="1:1">
      <c r="A226">
        <f>IFERROR(IF(B226="",0,IF(VALUE(LEFT(B226,1))&gt;3,VLOOKUP(VALUE(B226),PROYECCIONES!B:D,3,FALSE),0)),1 + COUNTIF($A$2:A225,"&gt;0"))</f>
        <v>0</v>
      </c>
    </row>
    <row r="227" spans="1:1">
      <c r="A227">
        <f>IFERROR(IF(B227="",0,IF(VALUE(LEFT(B227,1))&gt;3,VLOOKUP(VALUE(B227),PROYECCIONES!B:D,3,FALSE),0)),1 + COUNTIF($A$2:A226,"&gt;0"))</f>
        <v>0</v>
      </c>
    </row>
    <row r="228" spans="1:1">
      <c r="A228">
        <f>IFERROR(IF(B228="",0,IF(VALUE(LEFT(B228,1))&gt;3,VLOOKUP(VALUE(B228),PROYECCIONES!B:D,3,FALSE),0)),1 + COUNTIF($A$2:A227,"&gt;0"))</f>
        <v>0</v>
      </c>
    </row>
    <row r="229" spans="1:1">
      <c r="A229">
        <f>IFERROR(IF(B229="",0,IF(VALUE(LEFT(B229,1))&gt;3,VLOOKUP(VALUE(B229),PROYECCIONES!B:D,3,FALSE),0)),1 + COUNTIF($A$2:A228,"&gt;0"))</f>
        <v>0</v>
      </c>
    </row>
    <row r="230" spans="1:1">
      <c r="A230">
        <f>IFERROR(IF(B230="",0,IF(VALUE(LEFT(B230,1))&gt;3,VLOOKUP(VALUE(B230),PROYECCIONES!B:D,3,FALSE),0)),1 + COUNTIF($A$2:A229,"&gt;0"))</f>
        <v>0</v>
      </c>
    </row>
    <row r="231" spans="1:1">
      <c r="A231">
        <f>IFERROR(IF(B231="",0,IF(VALUE(LEFT(B231,1))&gt;3,VLOOKUP(VALUE(B231),PROYECCIONES!B:D,3,FALSE),0)),1 + COUNTIF($A$2:A230,"&gt;0"))</f>
        <v>0</v>
      </c>
    </row>
    <row r="232" spans="1:1">
      <c r="A232">
        <f>IFERROR(IF(B232="",0,IF(VALUE(LEFT(B232,1))&gt;3,VLOOKUP(VALUE(B232),PROYECCIONES!B:D,3,FALSE),0)),1 + COUNTIF($A$2:A231,"&gt;0"))</f>
        <v>0</v>
      </c>
    </row>
    <row r="233" spans="1:1">
      <c r="A233">
        <f>IFERROR(IF(B233="",0,IF(VALUE(LEFT(B233,1))&gt;3,VLOOKUP(VALUE(B233),PROYECCIONES!B:D,3,FALSE),0)),1 + COUNTIF($A$2:A232,"&gt;0"))</f>
        <v>0</v>
      </c>
    </row>
    <row r="234" spans="1:1">
      <c r="A234">
        <f>IFERROR(IF(B234="",0,IF(VALUE(LEFT(B234,1))&gt;3,VLOOKUP(VALUE(B234),PROYECCIONES!B:D,3,FALSE),0)),1 + COUNTIF($A$2:A233,"&gt;0"))</f>
        <v>0</v>
      </c>
    </row>
    <row r="235" spans="1:1">
      <c r="A235">
        <f>IFERROR(IF(B235="",0,IF(VALUE(LEFT(B235,1))&gt;3,VLOOKUP(VALUE(B235),PROYECCIONES!B:D,3,FALSE),0)),1 + COUNTIF($A$2:A234,"&gt;0"))</f>
        <v>0</v>
      </c>
    </row>
    <row r="236" spans="1:1">
      <c r="A236">
        <f>IFERROR(IF(B236="",0,IF(VALUE(LEFT(B236,1))&gt;3,VLOOKUP(VALUE(B236),PROYECCIONES!B:D,3,FALSE),0)),1 + COUNTIF($A$2:A235,"&gt;0"))</f>
        <v>0</v>
      </c>
    </row>
    <row r="237" spans="1:1">
      <c r="A237">
        <f>IFERROR(IF(B237="",0,IF(VALUE(LEFT(B237,1))&gt;3,VLOOKUP(VALUE(B237),PROYECCIONES!B:D,3,FALSE),0)),1 + COUNTIF($A$2:A236,"&gt;0"))</f>
        <v>0</v>
      </c>
    </row>
    <row r="238" spans="1:1">
      <c r="A238">
        <f>IFERROR(IF(B238="",0,IF(VALUE(LEFT(B238,1))&gt;3,VLOOKUP(VALUE(B238),PROYECCIONES!B:D,3,FALSE),0)),1 + COUNTIF($A$2:A237,"&gt;0"))</f>
        <v>0</v>
      </c>
    </row>
    <row r="239" spans="1:1">
      <c r="A239">
        <f>IFERROR(IF(B239="",0,IF(VALUE(LEFT(B239,1))&gt;3,VLOOKUP(VALUE(B239),PROYECCIONES!B:D,3,FALSE),0)),1 + COUNTIF($A$2:A238,"&gt;0"))</f>
        <v>0</v>
      </c>
    </row>
    <row r="240" spans="1:1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mergeCells count="4">
    <mergeCell ref="D1:D2"/>
    <mergeCell ref="E1:F1"/>
    <mergeCell ref="G1:G2"/>
    <mergeCell ref="B1:C1"/>
  </mergeCells>
  <conditionalFormatting sqref="B197:B1048576">
    <cfRule type="expression" dxfId="3" priority="2">
      <formula>$A197="No Agregada"</formula>
    </cfRule>
  </conditionalFormatting>
  <conditionalFormatting sqref="B197:B300">
    <cfRule type="expression" dxfId="2" priority="1">
      <formula>$A197="No Agregada"</formula>
    </cfRule>
  </conditionalFormatting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890B0-0255-4D92-B438-65D95B1C0135}">
  <sheetPr codeName="Hoja12"/>
  <dimension ref="A1:M300"/>
  <sheetViews>
    <sheetView workbookViewId="0">
      <pane ySplit="2" topLeftCell="A3" activePane="bottomLeft" state="frozen"/>
      <selection activeCell="K13" sqref="K13"/>
      <selection pane="bottomLeft" activeCell="I1" sqref="I1:M1048576"/>
    </sheetView>
  </sheetViews>
  <sheetFormatPr baseColWidth="10" defaultRowHeight="15"/>
  <cols>
    <col min="1" max="1" width="18.140625" hidden="1" customWidth="1"/>
    <col min="2" max="2" width="11.42578125" style="52"/>
    <col min="3" max="3" width="35.28515625" customWidth="1"/>
    <col min="4" max="7" width="12.5703125" style="54" bestFit="1" customWidth="1"/>
    <col min="9" max="13" width="11.42578125" hidden="1" customWidth="1"/>
  </cols>
  <sheetData>
    <row r="1" spans="1:13">
      <c r="B1" s="284"/>
      <c r="C1" s="285"/>
      <c r="D1" s="286"/>
      <c r="E1" s="288"/>
      <c r="F1" s="289"/>
      <c r="G1" s="286"/>
    </row>
    <row r="2" spans="1:13">
      <c r="B2" s="51"/>
      <c r="C2" s="51"/>
      <c r="D2" s="287"/>
      <c r="E2" s="65"/>
      <c r="F2" s="65"/>
      <c r="G2" s="287"/>
    </row>
    <row r="3" spans="1:13">
      <c r="A3">
        <f>IFERROR(IF(B3="",0,IF(VALUE(LEFT(B3,1))&gt;3,VLOOKUP(VALUE(B3),PROYECCIONES!B:D,3,FALSE),0)),1 + COUNTIF($A$2:A2,"&gt;0"))</f>
        <v>0</v>
      </c>
      <c r="C3" s="52"/>
      <c r="D3" s="53"/>
      <c r="E3" s="53"/>
      <c r="F3" s="53"/>
      <c r="G3" s="53"/>
      <c r="I3">
        <f>COUNTIF(A3:A300,"&gt;0")</f>
        <v>0</v>
      </c>
      <c r="J3" t="s">
        <v>3</v>
      </c>
      <c r="K3" t="s">
        <v>223</v>
      </c>
      <c r="L3" t="s">
        <v>224</v>
      </c>
    </row>
    <row r="4" spans="1:13">
      <c r="A4">
        <f>IFERROR(IF(B4="",0,IF(VALUE(LEFT(B4,1))&gt;3,VLOOKUP(VALUE(B4),PROYECCIONES!B:D,3,FALSE),0)),1 + COUNTIF($A$2:A3,"&gt;0"))</f>
        <v>0</v>
      </c>
      <c r="C4" s="52"/>
      <c r="D4" s="53"/>
      <c r="E4" s="53"/>
      <c r="F4" s="53"/>
      <c r="G4" s="53"/>
      <c r="I4" s="123">
        <v>1</v>
      </c>
      <c r="J4" t="str">
        <f>IFERROR(VLOOKUP(I4,'Balance a Nov'!$A$3:$C$300,2,FALSE),"")</f>
        <v/>
      </c>
      <c r="K4" t="str">
        <f>IFERROR(VLOOKUP(I4,'Balance a Nov'!$A$3:$C$300,3,FALSE),"")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</row>
    <row r="5" spans="1:13">
      <c r="A5">
        <f>IFERROR(IF(B5="",0,IF(VALUE(LEFT(B5,1))&gt;3,VLOOKUP(VALUE(B5),PROYECCIONES!B:D,3,FALSE),0)),1 + COUNTIF($A$2:A4,"&gt;0"))</f>
        <v>0</v>
      </c>
      <c r="C5" s="52"/>
      <c r="D5" s="53"/>
      <c r="E5" s="53"/>
      <c r="F5" s="53"/>
      <c r="G5" s="53"/>
      <c r="I5" s="123">
        <v>2</v>
      </c>
      <c r="J5" t="str">
        <f>IFERROR(VLOOKUP(I5,'Balance a Nov'!$A$3:$C$300,2,FALSE),"")</f>
        <v/>
      </c>
      <c r="K5" t="str">
        <f>IFERROR(VLOOKUP(I5,'Balance a Nov'!$A$3:$C$300,3,FALSE),"")</f>
        <v/>
      </c>
      <c r="L5" t="str">
        <f>IFERROR(IF(AND(VALUE(LEFT(J5,1))&gt;=6,VALUE(LEFT(J5,1))&lt;=7),MATCH(VALUE(J5),PROYECCIONES!$B$1:$B$40,1),MATCH(VALUE(J5),PROYECCIONES!$B$1:$B$333,1)),"")</f>
        <v/>
      </c>
    </row>
    <row r="6" spans="1:13">
      <c r="A6">
        <f>IFERROR(IF(B6="",0,IF(VALUE(LEFT(B6,1))&gt;3,VLOOKUP(VALUE(B6),PROYECCIONES!B:D,3,FALSE),0)),1 + COUNTIF($A$2:A5,"&gt;0"))</f>
        <v>0</v>
      </c>
      <c r="C6" s="52"/>
      <c r="D6" s="53"/>
      <c r="E6" s="53"/>
      <c r="F6" s="53"/>
      <c r="G6" s="53"/>
      <c r="I6" s="123">
        <v>3</v>
      </c>
      <c r="J6" t="str">
        <f>IFERROR(VLOOKUP(I6,'Balance a Nov'!$A$3:$C$300,2,FALSE),"")</f>
        <v/>
      </c>
      <c r="K6" t="str">
        <f>IFERROR(VLOOKUP(I6,'Balance a Nov'!$A$3:$C$300,3,FALSE),"")</f>
        <v/>
      </c>
      <c r="L6" t="str">
        <f>IFERROR(IF(AND(VALUE(LEFT(J6,1))&gt;=6,VALUE(LEFT(J6,1))&lt;=7),MATCH(VALUE(J6),PROYECCIONES!$B$1:$B$40,1),MATCH(VALUE(J6),PROYECCIONES!$B$1:$B$333,1)),"")</f>
        <v/>
      </c>
    </row>
    <row r="7" spans="1:13">
      <c r="A7">
        <f>IFERROR(IF(B7="",0,IF(VALUE(LEFT(B7,1))&gt;3,VLOOKUP(VALUE(B7),PROYECCIONES!B:D,3,FALSE),0)),1 + COUNTIF($A$2:A6,"&gt;0"))</f>
        <v>0</v>
      </c>
      <c r="C7" s="52"/>
      <c r="D7" s="53"/>
      <c r="E7" s="53"/>
      <c r="F7" s="53"/>
      <c r="G7" s="53"/>
      <c r="I7" s="123">
        <v>4</v>
      </c>
      <c r="J7" t="str">
        <f>IFERROR(VLOOKUP(I7,'Balance a Nov'!$A$3:$C$300,2,FALSE),"")</f>
        <v/>
      </c>
      <c r="K7" t="str">
        <f>IFERROR(VLOOKUP(I7,'Balance a Nov'!$A$3:$C$300,3,FALSE),"")</f>
        <v/>
      </c>
      <c r="L7" t="str">
        <f>IFERROR(IF(AND(VALUE(LEFT(J7,1))&gt;=6,VALUE(LEFT(J7,1))&lt;=7),MATCH(VALUE(J7),PROYECCIONES!$B$1:$B$40,1),MATCH(VALUE(J7),PROYECCIONES!$B$1:$B$333,1)),"")</f>
        <v/>
      </c>
    </row>
    <row r="8" spans="1:13">
      <c r="A8">
        <f>IFERROR(IF(B8="",0,IF(VALUE(LEFT(B8,1))&gt;3,VLOOKUP(VALUE(B8),PROYECCIONES!B:D,3,FALSE),0)),1 + COUNTIF($A$2:A7,"&gt;0"))</f>
        <v>0</v>
      </c>
      <c r="C8" s="52"/>
      <c r="D8" s="53"/>
      <c r="E8" s="53"/>
      <c r="F8" s="53"/>
      <c r="G8" s="53"/>
      <c r="I8" s="123">
        <v>5</v>
      </c>
      <c r="J8" t="str">
        <f>IFERROR(VLOOKUP(I8,'Balance a Nov'!$A$3:$C$300,2,FALSE),"")</f>
        <v/>
      </c>
      <c r="K8" t="str">
        <f>IFERROR(VLOOKUP(I8,'Balance a Nov'!$A$3:$C$300,3,FALSE),"")</f>
        <v/>
      </c>
      <c r="L8" t="str">
        <f>IFERROR(IF(AND(VALUE(LEFT(J8,1))&gt;=6,VALUE(LEFT(J8,1))&lt;=7),MATCH(VALUE(J8),PROYECCIONES!$B$1:$B$40,1),MATCH(VALUE(J8),PROYECCIONES!$B$1:$B$333,1)),"")</f>
        <v/>
      </c>
    </row>
    <row r="9" spans="1:13">
      <c r="A9">
        <f>IFERROR(IF(B9="",0,IF(VALUE(LEFT(B9,1))&gt;3,VLOOKUP(VALUE(B9),PROYECCIONES!B:D,3,FALSE),0)),1 + COUNTIF($A$2:A8,"&gt;0"))</f>
        <v>0</v>
      </c>
      <c r="C9" s="52"/>
      <c r="D9" s="53"/>
      <c r="E9" s="53"/>
      <c r="F9" s="53"/>
      <c r="G9" s="53"/>
      <c r="I9" s="123">
        <v>6</v>
      </c>
      <c r="J9" t="str">
        <f>IFERROR(VLOOKUP(I9,'Balance a Nov'!$A$3:$C$300,2,FALSE),"")</f>
        <v/>
      </c>
      <c r="K9" t="str">
        <f>IFERROR(VLOOKUP(I9,'Balance a Nov'!$A$3:$C$300,3,FALSE),"")</f>
        <v/>
      </c>
      <c r="L9" t="str">
        <f>IFERROR(IF(AND(VALUE(LEFT(J9,1))&gt;=6,VALUE(LEFT(J9,1))&lt;=7),MATCH(VALUE(J9),PROYECCIONES!$B$1:$B$40,1),MATCH(VALUE(J9),PROYECCIONES!$B$1:$B$333,1)),"")</f>
        <v/>
      </c>
    </row>
    <row r="10" spans="1:13">
      <c r="A10">
        <f>IFERROR(IF(B10="",0,IF(VALUE(LEFT(B10,1))&gt;3,VLOOKUP(VALUE(B10),PROYECCIONES!B:D,3,FALSE),0)),1 + COUNTIF($A$2:A9,"&gt;0"))</f>
        <v>0</v>
      </c>
      <c r="C10" s="52"/>
      <c r="D10" s="53"/>
      <c r="E10" s="53"/>
      <c r="F10" s="53"/>
      <c r="G10" s="53"/>
      <c r="I10" s="123">
        <v>7</v>
      </c>
      <c r="J10" t="str">
        <f>IFERROR(VLOOKUP(I10,'Balance a Nov'!$A$3:$C$300,2,FALSE),"")</f>
        <v/>
      </c>
      <c r="K10" t="str">
        <f>IFERROR(VLOOKUP(I10,'Balance a Nov'!$A$3:$C$300,3,FALSE),"")</f>
        <v/>
      </c>
      <c r="L10" t="str">
        <f>IFERROR(IF(AND(VALUE(LEFT(J10,1))&gt;=6,VALUE(LEFT(J10,1))&lt;=7),MATCH(VALUE(J10),PROYECCIONES!$B$1:$B$40,1),MATCH(VALUE(J10),PROYECCIONES!$B$1:$B$333,1)),"")</f>
        <v/>
      </c>
    </row>
    <row r="11" spans="1:13">
      <c r="A11">
        <f>IFERROR(IF(B11="",0,IF(VALUE(LEFT(B11,1))&gt;3,VLOOKUP(VALUE(B11),PROYECCIONES!B:D,3,FALSE),0)),1 + COUNTIF($A$2:A10,"&gt;0"))</f>
        <v>0</v>
      </c>
      <c r="C11" s="52"/>
      <c r="D11" s="53"/>
      <c r="E11" s="53"/>
      <c r="F11" s="53"/>
      <c r="G11" s="53"/>
      <c r="I11" s="123">
        <v>8</v>
      </c>
      <c r="J11" t="str">
        <f>IFERROR(VLOOKUP(I11,'Balance a Nov'!$A$3:$C$300,2,FALSE),"")</f>
        <v/>
      </c>
      <c r="K11" t="str">
        <f>IFERROR(VLOOKUP(I11,'Balance a Nov'!$A$3:$C$300,3,FALSE),"")</f>
        <v/>
      </c>
      <c r="L11" t="str">
        <f>IFERROR(IF(AND(VALUE(LEFT(J11,1))&gt;=6,VALUE(LEFT(J11,1))&lt;=7),MATCH(VALUE(J11),PROYECCIONES!$B$1:$B$40,1),MATCH(VALUE(J11),PROYECCIONES!$B$1:$B$333,1)),"")</f>
        <v/>
      </c>
    </row>
    <row r="12" spans="1:13">
      <c r="A12">
        <f>IFERROR(IF(B12="",0,IF(VALUE(LEFT(B12,1))&gt;3,VLOOKUP(VALUE(B12),PROYECCIONES!B:D,3,FALSE),0)),1 + COUNTIF($A$2:A11,"&gt;0"))</f>
        <v>0</v>
      </c>
      <c r="C12" s="52"/>
      <c r="D12" s="53"/>
      <c r="E12" s="53"/>
      <c r="F12" s="53"/>
      <c r="G12" s="53"/>
      <c r="I12" s="123">
        <v>9</v>
      </c>
      <c r="J12" t="str">
        <f>IFERROR(VLOOKUP(I12,'Balance a Nov'!$A$3:$C$300,2,FALSE),"")</f>
        <v/>
      </c>
      <c r="K12" t="str">
        <f>IFERROR(VLOOKUP(I12,'Balance a Nov'!$A$3:$C$300,3,FALSE),"")</f>
        <v/>
      </c>
      <c r="L12" t="str">
        <f>IFERROR(IF(AND(VALUE(LEFT(J12,1))&gt;=6,VALUE(LEFT(J12,1))&lt;=7),MATCH(VALUE(J12),PROYECCIONES!$B$1:$B$40,1),MATCH(VALUE(J12),PROYECCIONES!$B$1:$B$333,1)),"")</f>
        <v/>
      </c>
    </row>
    <row r="13" spans="1:13">
      <c r="A13">
        <f>IFERROR(IF(B13="",0,IF(VALUE(LEFT(B13,1))&gt;3,VLOOKUP(VALUE(B13),PROYECCIONES!B:D,3,FALSE),0)),1 + COUNTIF($A$2:A12,"&gt;0"))</f>
        <v>0</v>
      </c>
      <c r="C13" s="52"/>
      <c r="D13" s="53"/>
      <c r="E13" s="53"/>
      <c r="F13" s="53"/>
      <c r="G13" s="53"/>
      <c r="I13" s="123">
        <v>10</v>
      </c>
      <c r="J13" t="str">
        <f>IFERROR(VLOOKUP(I13,'Balance a Nov'!$A$3:$C$300,2,FALSE),"")</f>
        <v/>
      </c>
      <c r="K13" t="str">
        <f>IFERROR(VLOOKUP(I13,'Balance a Nov'!$A$3:$C$300,3,FALSE),"")</f>
        <v/>
      </c>
      <c r="L13" t="str">
        <f>IFERROR(IF(AND(VALUE(LEFT(J13,1))&gt;=6,VALUE(LEFT(J13,1))&lt;=7),MATCH(VALUE(J13),PROYECCIONES!$B$1:$B$40,1),MATCH(VALUE(J13),PROYECCIONES!$B$1:$B$333,1)),"")</f>
        <v/>
      </c>
    </row>
    <row r="14" spans="1:13">
      <c r="A14">
        <f>IFERROR(IF(B14="",0,IF(VALUE(LEFT(B14,1))&gt;3,VLOOKUP(VALUE(B14),PROYECCIONES!B:D,3,FALSE),0)),1 + COUNTIF($A$2:A13,"&gt;0"))</f>
        <v>0</v>
      </c>
      <c r="C14" s="52"/>
      <c r="D14" s="53"/>
      <c r="E14" s="53"/>
      <c r="F14" s="53"/>
      <c r="G14" s="53"/>
      <c r="I14" s="123">
        <v>11</v>
      </c>
      <c r="J14" t="str">
        <f>IFERROR(VLOOKUP(I14,'Balance a Nov'!$A$3:$C$300,2,FALSE),"")</f>
        <v/>
      </c>
      <c r="K14" t="str">
        <f>IFERROR(VLOOKUP(I14,'Balance a Nov'!$A$3:$C$300,3,FALSE),"")</f>
        <v/>
      </c>
      <c r="L14" t="str">
        <f>IFERROR(IF(AND(VALUE(LEFT(J14,1))&gt;=6,VALUE(LEFT(J14,1))&lt;=7),MATCH(VALUE(J14),PROYECCIONES!$B$1:$B$40,1),MATCH(VALUE(J14),PROYECCIONES!$B$1:$B$333,1)),"")</f>
        <v/>
      </c>
    </row>
    <row r="15" spans="1:13">
      <c r="A15">
        <f>IFERROR(IF(B15="",0,IF(VALUE(LEFT(B15,1))&gt;3,VLOOKUP(VALUE(B15),PROYECCIONES!B:D,3,FALSE),0)),1 + COUNTIF($A$2:A14,"&gt;0"))</f>
        <v>0</v>
      </c>
      <c r="C15" s="52"/>
      <c r="D15" s="53"/>
      <c r="E15" s="53"/>
      <c r="F15" s="53"/>
      <c r="G15" s="53"/>
      <c r="I15" s="123">
        <v>12</v>
      </c>
      <c r="J15" t="str">
        <f>IFERROR(VLOOKUP(I15,'Balance a Nov'!$A$3:$C$300,2,FALSE),"")</f>
        <v/>
      </c>
      <c r="K15" t="str">
        <f>IFERROR(VLOOKUP(I15,'Balance a Nov'!$A$3:$C$300,3,FALSE),"")</f>
        <v/>
      </c>
      <c r="L15" t="str">
        <f>IFERROR(IF(AND(VALUE(LEFT(J15,1))&gt;=6,VALUE(LEFT(J15,1))&lt;=7),MATCH(VALUE(J15),PROYECCIONES!$B$1:$B$40,1),MATCH(VALUE(J15),PROYECCIONES!$B$1:$B$333,1)),"")</f>
        <v/>
      </c>
    </row>
    <row r="16" spans="1:13">
      <c r="A16">
        <f>IFERROR(IF(B16="",0,IF(VALUE(LEFT(B16,1))&gt;3,VLOOKUP(VALUE(B16),PROYECCIONES!B:D,3,FALSE),0)),1 + COUNTIF($A$2:A15,"&gt;0"))</f>
        <v>0</v>
      </c>
      <c r="C16" s="52"/>
      <c r="D16" s="53"/>
      <c r="E16" s="53"/>
      <c r="F16" s="53"/>
      <c r="G16" s="53"/>
      <c r="I16" s="123">
        <v>13</v>
      </c>
      <c r="J16" t="str">
        <f>IFERROR(VLOOKUP(I16,'Balance a Nov'!$A$3:$C$300,2,FALSE),"")</f>
        <v/>
      </c>
      <c r="K16" t="str">
        <f>IFERROR(VLOOKUP(I16,'Balance a Nov'!$A$3:$C$300,3,FALSE),"")</f>
        <v/>
      </c>
      <c r="L16" t="str">
        <f>IFERROR(IF(AND(VALUE(LEFT(J16,1))&gt;=6,VALUE(LEFT(J16,1))&lt;=7),MATCH(VALUE(J16),PROYECCIONES!$B$1:$B$40,1),MATCH(VALUE(J16),PROYECCIONES!$B$1:$B$333,1)),"")</f>
        <v/>
      </c>
    </row>
    <row r="17" spans="1:12">
      <c r="A17">
        <f>IFERROR(IF(B17="",0,IF(VALUE(LEFT(B17,1))&gt;3,VLOOKUP(VALUE(B17),PROYECCIONES!B:D,3,FALSE),0)),1 + COUNTIF($A$2:A16,"&gt;0"))</f>
        <v>0</v>
      </c>
      <c r="C17" s="52"/>
      <c r="D17" s="53"/>
      <c r="E17" s="53"/>
      <c r="F17" s="53"/>
      <c r="G17" s="53"/>
      <c r="I17" s="123">
        <v>14</v>
      </c>
      <c r="J17" t="str">
        <f>IFERROR(VLOOKUP(I17,'Balance a Nov'!$A$3:$C$300,2,FALSE),"")</f>
        <v/>
      </c>
      <c r="K17" t="str">
        <f>IFERROR(VLOOKUP(I17,'Balance a Nov'!$A$3:$C$300,3,FALSE),"")</f>
        <v/>
      </c>
      <c r="L17" t="str">
        <f>IFERROR(IF(AND(VALUE(LEFT(J17,1))&gt;=6,VALUE(LEFT(J17,1))&lt;=7),MATCH(VALUE(J17),PROYECCIONES!$B$1:$B$40,1),MATCH(VALUE(J17),PROYECCIONES!$B$1:$B$333,1)),"")</f>
        <v/>
      </c>
    </row>
    <row r="18" spans="1:12">
      <c r="A18">
        <f>IFERROR(IF(B18="",0,IF(VALUE(LEFT(B18,1))&gt;3,VLOOKUP(VALUE(B18),PROYECCIONES!B:D,3,FALSE),0)),1 + COUNTIF($A$2:A17,"&gt;0"))</f>
        <v>0</v>
      </c>
      <c r="C18" s="52"/>
      <c r="D18" s="53"/>
      <c r="E18" s="53"/>
      <c r="F18" s="53"/>
      <c r="G18" s="53"/>
      <c r="I18" s="123">
        <v>15</v>
      </c>
      <c r="J18" t="str">
        <f>IFERROR(VLOOKUP(I18,'Balance a Nov'!$A$3:$C$300,2,FALSE),"")</f>
        <v/>
      </c>
      <c r="K18" t="str">
        <f>IFERROR(VLOOKUP(I18,'Balance a Nov'!$A$3:$C$300,3,FALSE),"")</f>
        <v/>
      </c>
      <c r="L18" t="str">
        <f>IFERROR(IF(AND(VALUE(LEFT(J18,1))&gt;=6,VALUE(LEFT(J18,1))&lt;=7),MATCH(VALUE(J18),PROYECCIONES!$B$1:$B$40,1),MATCH(VALUE(J18),PROYECCIONES!$B$1:$B$333,1)),"")</f>
        <v/>
      </c>
    </row>
    <row r="19" spans="1:12">
      <c r="A19">
        <f>IFERROR(IF(B19="",0,IF(VALUE(LEFT(B19,1))&gt;3,VLOOKUP(VALUE(B19),PROYECCIONES!B:D,3,FALSE),0)),1 + COUNTIF($A$2:A18,"&gt;0"))</f>
        <v>0</v>
      </c>
      <c r="C19" s="52"/>
      <c r="D19" s="53"/>
      <c r="E19" s="53"/>
      <c r="F19" s="53"/>
      <c r="G19" s="53"/>
    </row>
    <row r="20" spans="1:12">
      <c r="A20">
        <f>IFERROR(IF(B20="",0,IF(VALUE(LEFT(B20,1))&gt;3,VLOOKUP(VALUE(B20),PROYECCIONES!B:D,3,FALSE),0)),1 + COUNTIF($A$2:A19,"&gt;0"))</f>
        <v>0</v>
      </c>
      <c r="C20" s="52"/>
      <c r="D20" s="53"/>
      <c r="E20" s="53"/>
      <c r="F20" s="53"/>
      <c r="G20" s="53"/>
    </row>
    <row r="21" spans="1:12">
      <c r="A21">
        <f>IFERROR(IF(B21="",0,IF(VALUE(LEFT(B21,1))&gt;3,VLOOKUP(VALUE(B21),PROYECCIONES!B:D,3,FALSE),0)),1 + COUNTIF($A$2:A20,"&gt;0"))</f>
        <v>0</v>
      </c>
      <c r="C21" s="52"/>
      <c r="D21" s="53"/>
      <c r="E21" s="53"/>
      <c r="F21" s="53"/>
      <c r="G21" s="53"/>
    </row>
    <row r="22" spans="1:12">
      <c r="A22">
        <f>IFERROR(IF(B22="",0,IF(VALUE(LEFT(B22,1))&gt;3,VLOOKUP(VALUE(B22),PROYECCIONES!B:D,3,FALSE),0)),1 + COUNTIF($A$2:A21,"&gt;0"))</f>
        <v>0</v>
      </c>
      <c r="C22" s="52"/>
      <c r="D22" s="53"/>
      <c r="E22" s="53"/>
      <c r="F22" s="53"/>
      <c r="G22" s="53"/>
    </row>
    <row r="23" spans="1:12">
      <c r="A23">
        <f>IFERROR(IF(B23="",0,IF(VALUE(LEFT(B23,1))&gt;3,VLOOKUP(VALUE(B23),PROYECCIONES!B:D,3,FALSE),0)),1 + COUNTIF($A$2:A22,"&gt;0"))</f>
        <v>0</v>
      </c>
      <c r="C23" s="52"/>
      <c r="D23" s="53"/>
      <c r="E23" s="53"/>
      <c r="F23" s="53"/>
      <c r="G23" s="53"/>
    </row>
    <row r="24" spans="1:12">
      <c r="A24">
        <f>IFERROR(IF(B24="",0,IF(VALUE(LEFT(B24,1))&gt;3,VLOOKUP(VALUE(B24),PROYECCIONES!B:D,3,FALSE),0)),1 + COUNTIF($A$2:A23,"&gt;0"))</f>
        <v>0</v>
      </c>
      <c r="C24" s="52"/>
      <c r="D24" s="53"/>
      <c r="E24" s="53"/>
      <c r="F24" s="53"/>
      <c r="G24" s="53"/>
    </row>
    <row r="25" spans="1:12">
      <c r="A25">
        <f>IFERROR(IF(B25="",0,IF(VALUE(LEFT(B25,1))&gt;3,VLOOKUP(VALUE(B25),PROYECCIONES!B:D,3,FALSE),0)),1 + COUNTIF($A$2:A24,"&gt;0"))</f>
        <v>0</v>
      </c>
      <c r="C25" s="52"/>
      <c r="D25" s="53"/>
      <c r="E25" s="53"/>
      <c r="F25" s="53"/>
      <c r="G25" s="53"/>
    </row>
    <row r="26" spans="1:12">
      <c r="A26">
        <f>IFERROR(IF(B26="",0,IF(VALUE(LEFT(B26,1))&gt;3,VLOOKUP(VALUE(B26),PROYECCIONES!B:D,3,FALSE),0)),1 + COUNTIF($A$2:A25,"&gt;0"))</f>
        <v>0</v>
      </c>
      <c r="C26" s="52"/>
      <c r="D26" s="53"/>
      <c r="E26" s="53"/>
      <c r="F26" s="53"/>
      <c r="G26" s="53"/>
    </row>
    <row r="27" spans="1:12">
      <c r="A27">
        <f>IFERROR(IF(B27="",0,IF(VALUE(LEFT(B27,1))&gt;3,VLOOKUP(VALUE(B27),PROYECCIONES!B:D,3,FALSE),0)),1 + COUNTIF($A$2:A26,"&gt;0"))</f>
        <v>0</v>
      </c>
      <c r="C27" s="52"/>
      <c r="D27" s="53"/>
      <c r="E27" s="53"/>
      <c r="F27" s="53"/>
      <c r="G27" s="53"/>
    </row>
    <row r="28" spans="1:12">
      <c r="A28">
        <f>IFERROR(IF(B28="",0,IF(VALUE(LEFT(B28,1))&gt;3,VLOOKUP(VALUE(B28),PROYECCIONES!B:D,3,FALSE),0)),1 + COUNTIF($A$2:A27,"&gt;0"))</f>
        <v>0</v>
      </c>
      <c r="C28" s="52"/>
      <c r="D28" s="53"/>
      <c r="E28" s="53"/>
      <c r="F28" s="53"/>
      <c r="G28" s="53"/>
    </row>
    <row r="29" spans="1:12">
      <c r="A29">
        <f>IFERROR(IF(B29="",0,IF(VALUE(LEFT(B29,1))&gt;3,VLOOKUP(VALUE(B29),PROYECCIONES!B:D,3,FALSE),0)),1 + COUNTIF($A$2:A28,"&gt;0"))</f>
        <v>0</v>
      </c>
      <c r="C29" s="52"/>
      <c r="D29" s="53"/>
      <c r="E29" s="53"/>
      <c r="F29" s="53"/>
      <c r="G29" s="53"/>
    </row>
    <row r="30" spans="1:12">
      <c r="A30">
        <f>IFERROR(IF(B30="",0,IF(VALUE(LEFT(B30,1))&gt;3,VLOOKUP(VALUE(B30),PROYECCIONES!B:D,3,FALSE),0)),1 + COUNTIF($A$2:A29,"&gt;0"))</f>
        <v>0</v>
      </c>
      <c r="C30" s="52"/>
      <c r="D30" s="53"/>
      <c r="E30" s="53"/>
      <c r="F30" s="53"/>
      <c r="G30" s="53"/>
    </row>
    <row r="31" spans="1:12">
      <c r="A31">
        <f>IFERROR(IF(B31="",0,IF(VALUE(LEFT(B31,1))&gt;3,VLOOKUP(VALUE(B31),PROYECCIONES!B:D,3,FALSE),0)),1 + COUNTIF($A$2:A30,"&gt;0"))</f>
        <v>0</v>
      </c>
      <c r="C31" s="52"/>
      <c r="D31" s="53"/>
      <c r="E31" s="53"/>
      <c r="F31" s="53"/>
      <c r="G31" s="53"/>
    </row>
    <row r="32" spans="1:12">
      <c r="A32">
        <f>IFERROR(IF(B32="",0,IF(VALUE(LEFT(B32,1))&gt;3,VLOOKUP(VALUE(B32),PROYECCIONES!B:D,3,FALSE),0)),1 + COUNTIF($A$2:A31,"&gt;0"))</f>
        <v>0</v>
      </c>
      <c r="C32" s="52"/>
      <c r="D32" s="53"/>
      <c r="E32" s="53"/>
      <c r="F32" s="53"/>
      <c r="G32" s="53"/>
    </row>
    <row r="33" spans="1:7">
      <c r="A33">
        <f>IFERROR(IF(B33="",0,IF(VALUE(LEFT(B33,1))&gt;3,VLOOKUP(VALUE(B33),PROYECCIONES!B:D,3,FALSE),0)),1 + COUNTIF($A$2:A32,"&gt;0"))</f>
        <v>0</v>
      </c>
      <c r="C33" s="52"/>
      <c r="D33" s="53"/>
      <c r="E33" s="53"/>
      <c r="F33" s="53"/>
      <c r="G33" s="53"/>
    </row>
    <row r="34" spans="1:7">
      <c r="A34">
        <f>IFERROR(IF(B34="",0,IF(VALUE(LEFT(B34,1))&gt;3,VLOOKUP(VALUE(B34),PROYECCIONES!B:D,3,FALSE),0)),1 + COUNTIF($A$2:A33,"&gt;0"))</f>
        <v>0</v>
      </c>
      <c r="C34" s="52"/>
      <c r="D34" s="53"/>
      <c r="E34" s="53"/>
      <c r="F34" s="53"/>
      <c r="G34" s="53"/>
    </row>
    <row r="35" spans="1:7">
      <c r="A35">
        <f>IFERROR(IF(B35="",0,IF(VALUE(LEFT(B35,1))&gt;3,VLOOKUP(VALUE(B35),PROYECCIONES!B:D,3,FALSE),0)),1 + COUNTIF($A$2:A34,"&gt;0"))</f>
        <v>0</v>
      </c>
      <c r="C35" s="52"/>
      <c r="D35" s="53"/>
      <c r="E35" s="53"/>
      <c r="F35" s="53"/>
      <c r="G35" s="53"/>
    </row>
    <row r="36" spans="1:7">
      <c r="A36">
        <f>IFERROR(IF(B36="",0,IF(VALUE(LEFT(B36,1))&gt;3,VLOOKUP(VALUE(B36),PROYECCIONES!B:D,3,FALSE),0)),1 + COUNTIF($A$2:A35,"&gt;0"))</f>
        <v>0</v>
      </c>
      <c r="C36" s="52"/>
      <c r="D36" s="53"/>
      <c r="E36" s="53"/>
      <c r="F36" s="53"/>
      <c r="G36" s="53"/>
    </row>
    <row r="37" spans="1:7">
      <c r="A37">
        <f>IFERROR(IF(B37="",0,IF(VALUE(LEFT(B37,1))&gt;3,VLOOKUP(VALUE(B37),PROYECCIONES!B:D,3,FALSE),0)),1 + COUNTIF($A$2:A36,"&gt;0"))</f>
        <v>0</v>
      </c>
      <c r="C37" s="52"/>
      <c r="D37" s="53"/>
      <c r="E37" s="53"/>
      <c r="F37" s="53"/>
      <c r="G37" s="53"/>
    </row>
    <row r="38" spans="1:7">
      <c r="A38">
        <f>IFERROR(IF(B38="",0,IF(VALUE(LEFT(B38,1))&gt;3,VLOOKUP(VALUE(B38),PROYECCIONES!B:D,3,FALSE),0)),1 + COUNTIF($A$2:A37,"&gt;0"))</f>
        <v>0</v>
      </c>
      <c r="C38" s="52"/>
      <c r="D38" s="53"/>
      <c r="E38" s="53"/>
      <c r="F38" s="53"/>
      <c r="G38" s="53"/>
    </row>
    <row r="39" spans="1:7">
      <c r="A39">
        <f>IFERROR(IF(B39="",0,IF(VALUE(LEFT(B39,1))&gt;3,VLOOKUP(VALUE(B39),PROYECCIONES!B:D,3,FALSE),0)),1 + COUNTIF($A$2:A38,"&gt;0"))</f>
        <v>0</v>
      </c>
      <c r="C39" s="52"/>
      <c r="D39" s="53"/>
      <c r="E39" s="53"/>
      <c r="F39" s="53"/>
      <c r="G39" s="53"/>
    </row>
    <row r="40" spans="1:7">
      <c r="A40">
        <f>IFERROR(IF(B40="",0,IF(VALUE(LEFT(B40,1))&gt;3,VLOOKUP(VALUE(B40),PROYECCIONES!B:D,3,FALSE),0)),1 + COUNTIF($A$2:A39,"&gt;0"))</f>
        <v>0</v>
      </c>
      <c r="C40" s="52"/>
      <c r="D40" s="53"/>
      <c r="E40" s="53"/>
      <c r="F40" s="53"/>
      <c r="G40" s="53"/>
    </row>
    <row r="41" spans="1:7">
      <c r="A41">
        <f>IFERROR(IF(B41="",0,IF(VALUE(LEFT(B41,1))&gt;3,VLOOKUP(VALUE(B41),PROYECCIONES!B:D,3,FALSE),0)),1 + COUNTIF($A$2:A40,"&gt;0"))</f>
        <v>0</v>
      </c>
      <c r="C41" s="52"/>
      <c r="D41" s="53"/>
      <c r="E41" s="53"/>
      <c r="F41" s="53"/>
      <c r="G41" s="53"/>
    </row>
    <row r="42" spans="1:7">
      <c r="A42">
        <f>IFERROR(IF(B42="",0,IF(VALUE(LEFT(B42,1))&gt;3,VLOOKUP(VALUE(B42),PROYECCIONES!B:D,3,FALSE),0)),1 + COUNTIF($A$2:A41,"&gt;0"))</f>
        <v>0</v>
      </c>
      <c r="C42" s="52"/>
      <c r="D42" s="53"/>
      <c r="E42" s="53"/>
      <c r="F42" s="53"/>
      <c r="G42" s="53"/>
    </row>
    <row r="43" spans="1:7">
      <c r="A43">
        <f>IFERROR(IF(B43="",0,IF(VALUE(LEFT(B43,1))&gt;3,VLOOKUP(VALUE(B43),PROYECCIONES!B:D,3,FALSE),0)),1 + COUNTIF($A$2:A42,"&gt;0"))</f>
        <v>0</v>
      </c>
      <c r="C43" s="52"/>
      <c r="D43" s="53"/>
      <c r="E43" s="53"/>
      <c r="F43" s="53"/>
      <c r="G43" s="53"/>
    </row>
    <row r="44" spans="1:7">
      <c r="A44">
        <f>IFERROR(IF(B44="",0,IF(VALUE(LEFT(B44,1))&gt;3,VLOOKUP(VALUE(B44),PROYECCIONES!B:D,3,FALSE),0)),1 + COUNTIF($A$2:A43,"&gt;0"))</f>
        <v>0</v>
      </c>
      <c r="C44" s="52"/>
      <c r="D44" s="53"/>
      <c r="E44" s="53"/>
      <c r="F44" s="53"/>
      <c r="G44" s="53"/>
    </row>
    <row r="45" spans="1:7">
      <c r="A45">
        <f>IFERROR(IF(B45="",0,IF(VALUE(LEFT(B45,1))&gt;3,VLOOKUP(VALUE(B45),PROYECCIONES!B:D,3,FALSE),0)),1 + COUNTIF($A$2:A44,"&gt;0"))</f>
        <v>0</v>
      </c>
      <c r="C45" s="52"/>
      <c r="D45" s="53"/>
      <c r="E45" s="53"/>
      <c r="F45" s="53"/>
      <c r="G45" s="53"/>
    </row>
    <row r="46" spans="1:7">
      <c r="A46">
        <f>IFERROR(IF(B46="",0,IF(VALUE(LEFT(B46,1))&gt;3,VLOOKUP(VALUE(B46),PROYECCIONES!B:D,3,FALSE),0)),1 + COUNTIF($A$2:A45,"&gt;0"))</f>
        <v>0</v>
      </c>
      <c r="C46" s="52"/>
      <c r="D46" s="53"/>
      <c r="E46" s="53"/>
      <c r="F46" s="53"/>
      <c r="G46" s="53"/>
    </row>
    <row r="47" spans="1:7">
      <c r="A47">
        <f>IFERROR(IF(B47="",0,IF(VALUE(LEFT(B47,1))&gt;3,VLOOKUP(VALUE(B47),PROYECCIONES!B:D,3,FALSE),0)),1 + COUNTIF($A$2:A46,"&gt;0"))</f>
        <v>0</v>
      </c>
      <c r="C47" s="52"/>
      <c r="D47" s="53"/>
      <c r="E47" s="53"/>
      <c r="F47" s="53"/>
      <c r="G47" s="53"/>
    </row>
    <row r="48" spans="1:7">
      <c r="A48">
        <f>IFERROR(IF(B48="",0,IF(VALUE(LEFT(B48,1))&gt;3,VLOOKUP(VALUE(B48),PROYECCIONES!B:D,3,FALSE),0)),1 + COUNTIF($A$2:A47,"&gt;0"))</f>
        <v>0</v>
      </c>
      <c r="C48" s="52"/>
      <c r="D48" s="53"/>
      <c r="E48" s="53"/>
      <c r="F48" s="53"/>
      <c r="G48" s="53"/>
    </row>
    <row r="49" spans="1:7">
      <c r="A49">
        <f>IFERROR(IF(B49="",0,IF(VALUE(LEFT(B49,1))&gt;3,VLOOKUP(VALUE(B49),PROYECCIONES!B:D,3,FALSE),0)),1 + COUNTIF($A$2:A48,"&gt;0"))</f>
        <v>0</v>
      </c>
      <c r="C49" s="52"/>
      <c r="D49" s="53"/>
      <c r="E49" s="53"/>
      <c r="F49" s="53"/>
      <c r="G49" s="53"/>
    </row>
    <row r="50" spans="1:7">
      <c r="A50">
        <f>IFERROR(IF(B50="",0,IF(VALUE(LEFT(B50,1))&gt;3,VLOOKUP(VALUE(B50),PROYECCIONES!B:D,3,FALSE),0)),1 + COUNTIF($A$2:A49,"&gt;0"))</f>
        <v>0</v>
      </c>
      <c r="C50" s="52"/>
      <c r="D50" s="53"/>
      <c r="E50" s="53"/>
      <c r="F50" s="53"/>
      <c r="G50" s="53"/>
    </row>
    <row r="51" spans="1:7">
      <c r="A51">
        <f>IFERROR(IF(B51="",0,IF(VALUE(LEFT(B51,1))&gt;3,VLOOKUP(VALUE(B51),PROYECCIONES!B:D,3,FALSE),0)),1 + COUNTIF($A$2:A50,"&gt;0"))</f>
        <v>0</v>
      </c>
      <c r="C51" s="52"/>
      <c r="D51" s="53"/>
      <c r="E51" s="53"/>
      <c r="F51" s="53"/>
      <c r="G51" s="53"/>
    </row>
    <row r="52" spans="1:7">
      <c r="A52">
        <f>IFERROR(IF(B52="",0,IF(VALUE(LEFT(B52,1))&gt;3,VLOOKUP(VALUE(B52),PROYECCIONES!B:D,3,FALSE),0)),1 + COUNTIF($A$2:A51,"&gt;0"))</f>
        <v>0</v>
      </c>
      <c r="C52" s="52"/>
      <c r="D52" s="53"/>
      <c r="E52" s="53"/>
      <c r="F52" s="53"/>
      <c r="G52" s="53"/>
    </row>
    <row r="53" spans="1:7">
      <c r="A53">
        <f>IFERROR(IF(B53="",0,IF(VALUE(LEFT(B53,1))&gt;3,VLOOKUP(VALUE(B53),PROYECCIONES!B:D,3,FALSE),0)),1 + COUNTIF($A$2:A52,"&gt;0"))</f>
        <v>0</v>
      </c>
      <c r="C53" s="52"/>
      <c r="D53" s="53"/>
      <c r="E53" s="53"/>
      <c r="F53" s="53"/>
      <c r="G53" s="53"/>
    </row>
    <row r="54" spans="1:7">
      <c r="A54">
        <f>IFERROR(IF(B54="",0,IF(VALUE(LEFT(B54,1))&gt;3,VLOOKUP(VALUE(B54),PROYECCIONES!B:D,3,FALSE),0)),1 + COUNTIF($A$2:A53,"&gt;0"))</f>
        <v>0</v>
      </c>
      <c r="C54" s="52"/>
      <c r="D54" s="53"/>
      <c r="E54" s="53"/>
      <c r="F54" s="53"/>
      <c r="G54" s="53"/>
    </row>
    <row r="55" spans="1:7">
      <c r="A55">
        <f>IFERROR(IF(B55="",0,IF(VALUE(LEFT(B55,1))&gt;3,VLOOKUP(VALUE(B55),PROYECCIONES!B:D,3,FALSE),0)),1 + COUNTIF($A$2:A54,"&gt;0"))</f>
        <v>0</v>
      </c>
      <c r="C55" s="52"/>
      <c r="D55" s="53"/>
      <c r="E55" s="53"/>
      <c r="F55" s="53"/>
      <c r="G55" s="53"/>
    </row>
    <row r="56" spans="1:7">
      <c r="A56">
        <f>IFERROR(IF(B56="",0,IF(VALUE(LEFT(B56,1))&gt;3,VLOOKUP(VALUE(B56),PROYECCIONES!B:D,3,FALSE),0)),1 + COUNTIF($A$2:A55,"&gt;0"))</f>
        <v>0</v>
      </c>
      <c r="C56" s="52"/>
      <c r="D56" s="53"/>
      <c r="E56" s="53"/>
      <c r="F56" s="53"/>
      <c r="G56" s="53"/>
    </row>
    <row r="57" spans="1:7">
      <c r="A57">
        <f>IFERROR(IF(B57="",0,IF(VALUE(LEFT(B57,1))&gt;3,VLOOKUP(VALUE(B57),PROYECCIONES!B:D,3,FALSE),0)),1 + COUNTIF($A$2:A56,"&gt;0"))</f>
        <v>0</v>
      </c>
      <c r="C57" s="52"/>
      <c r="D57" s="53"/>
      <c r="E57" s="53"/>
      <c r="F57" s="53"/>
      <c r="G57" s="53"/>
    </row>
    <row r="58" spans="1:7">
      <c r="A58">
        <f>IFERROR(IF(B58="",0,IF(VALUE(LEFT(B58,1))&gt;3,VLOOKUP(VALUE(B58),PROYECCIONES!B:D,3,FALSE),0)),1 + COUNTIF($A$2:A57,"&gt;0"))</f>
        <v>0</v>
      </c>
      <c r="C58" s="52"/>
      <c r="D58" s="53"/>
      <c r="E58" s="53"/>
      <c r="F58" s="53"/>
      <c r="G58" s="53"/>
    </row>
    <row r="59" spans="1:7">
      <c r="A59">
        <f>IFERROR(IF(B59="",0,IF(VALUE(LEFT(B59,1))&gt;3,VLOOKUP(VALUE(B59),PROYECCIONES!B:D,3,FALSE),0)),1 + COUNTIF($A$2:A58,"&gt;0"))</f>
        <v>0</v>
      </c>
      <c r="C59" s="52"/>
      <c r="D59" s="53"/>
      <c r="E59" s="53"/>
      <c r="F59" s="53"/>
      <c r="G59" s="53"/>
    </row>
    <row r="60" spans="1:7">
      <c r="A60">
        <f>IFERROR(IF(B60="",0,IF(VALUE(LEFT(B60,1))&gt;3,VLOOKUP(VALUE(B60),PROYECCIONES!B:D,3,FALSE),0)),1 + COUNTIF($A$2:A59,"&gt;0"))</f>
        <v>0</v>
      </c>
      <c r="C60" s="52"/>
      <c r="D60" s="53"/>
      <c r="E60" s="53"/>
      <c r="F60" s="53"/>
      <c r="G60" s="53"/>
    </row>
    <row r="61" spans="1:7">
      <c r="A61">
        <f>IFERROR(IF(B61="",0,IF(VALUE(LEFT(B61,1))&gt;3,VLOOKUP(VALUE(B61),PROYECCIONES!B:D,3,FALSE),0)),1 + COUNTIF($A$2:A60,"&gt;0"))</f>
        <v>0</v>
      </c>
      <c r="C61" s="52"/>
      <c r="D61" s="53"/>
      <c r="E61" s="53"/>
      <c r="F61" s="53"/>
      <c r="G61" s="53"/>
    </row>
    <row r="62" spans="1:7">
      <c r="A62">
        <f>IFERROR(IF(B62="",0,IF(VALUE(LEFT(B62,1))&gt;3,VLOOKUP(VALUE(B62),PROYECCIONES!B:D,3,FALSE),0)),1 + COUNTIF($A$2:A61,"&gt;0"))</f>
        <v>0</v>
      </c>
      <c r="C62" s="52"/>
      <c r="D62" s="53"/>
      <c r="E62" s="53"/>
      <c r="F62" s="53"/>
      <c r="G62" s="53"/>
    </row>
    <row r="63" spans="1:7">
      <c r="A63">
        <f>IFERROR(IF(B63="",0,IF(VALUE(LEFT(B63,1))&gt;3,VLOOKUP(VALUE(B63),PROYECCIONES!B:D,3,FALSE),0)),1 + COUNTIF($A$2:A62,"&gt;0"))</f>
        <v>0</v>
      </c>
      <c r="C63" s="52"/>
      <c r="D63" s="53"/>
      <c r="E63" s="53"/>
      <c r="F63" s="53"/>
      <c r="G63" s="53"/>
    </row>
    <row r="64" spans="1:7">
      <c r="A64">
        <f>IFERROR(IF(B64="",0,IF(VALUE(LEFT(B64,1))&gt;3,VLOOKUP(VALUE(B64),PROYECCIONES!B:D,3,FALSE),0)),1 + COUNTIF($A$2:A63,"&gt;0"))</f>
        <v>0</v>
      </c>
      <c r="C64" s="52"/>
      <c r="D64" s="53"/>
      <c r="E64" s="53"/>
      <c r="F64" s="53"/>
      <c r="G64" s="53"/>
    </row>
    <row r="65" spans="1:7">
      <c r="A65">
        <f>IFERROR(IF(B65="",0,IF(VALUE(LEFT(B65,1))&gt;3,VLOOKUP(VALUE(B65),PROYECCIONES!B:D,3,FALSE),0)),1 + COUNTIF($A$2:A64,"&gt;0"))</f>
        <v>0</v>
      </c>
      <c r="C65" s="52"/>
      <c r="D65" s="53"/>
      <c r="E65" s="53"/>
      <c r="F65" s="53"/>
      <c r="G65" s="53"/>
    </row>
    <row r="66" spans="1:7">
      <c r="A66">
        <f>IFERROR(IF(B66="",0,IF(VALUE(LEFT(B66,1))&gt;3,VLOOKUP(VALUE(B66),PROYECCIONES!B:D,3,FALSE),0)),1 + COUNTIF($A$2:A65,"&gt;0"))</f>
        <v>0</v>
      </c>
      <c r="C66" s="52"/>
      <c r="D66" s="53"/>
      <c r="E66" s="53"/>
      <c r="F66" s="53"/>
      <c r="G66" s="53"/>
    </row>
    <row r="67" spans="1:7">
      <c r="A67">
        <f>IFERROR(IF(B67="",0,IF(VALUE(LEFT(B67,1))&gt;3,VLOOKUP(VALUE(B67),PROYECCIONES!B:D,3,FALSE),0)),1 + COUNTIF($A$2:A66,"&gt;0"))</f>
        <v>0</v>
      </c>
      <c r="C67" s="52"/>
      <c r="D67" s="53"/>
      <c r="E67" s="53"/>
      <c r="F67" s="53"/>
      <c r="G67" s="53"/>
    </row>
    <row r="68" spans="1:7">
      <c r="A68">
        <f>IFERROR(IF(B68="",0,IF(VALUE(LEFT(B68,1))&gt;3,VLOOKUP(VALUE(B68),PROYECCIONES!B:D,3,FALSE),0)),1 + COUNTIF($A$2:A67,"&gt;0"))</f>
        <v>0</v>
      </c>
      <c r="C68" s="52"/>
      <c r="D68" s="53"/>
      <c r="E68" s="53"/>
      <c r="F68" s="53"/>
      <c r="G68" s="53"/>
    </row>
    <row r="69" spans="1:7">
      <c r="A69">
        <f>IFERROR(IF(B69="",0,IF(VALUE(LEFT(B69,1))&gt;3,VLOOKUP(VALUE(B69),PROYECCIONES!B:D,3,FALSE),0)),1 + COUNTIF($A$2:A68,"&gt;0"))</f>
        <v>0</v>
      </c>
      <c r="C69" s="52"/>
      <c r="D69" s="53"/>
      <c r="E69" s="53"/>
      <c r="F69" s="53"/>
      <c r="G69" s="53"/>
    </row>
    <row r="70" spans="1:7">
      <c r="A70">
        <f>IFERROR(IF(B70="",0,IF(VALUE(LEFT(B70,1))&gt;3,VLOOKUP(VALUE(B70),PROYECCIONES!B:D,3,FALSE),0)),1 + COUNTIF($A$2:A69,"&gt;0"))</f>
        <v>0</v>
      </c>
      <c r="C70" s="52"/>
      <c r="D70" s="53"/>
      <c r="E70" s="53"/>
      <c r="F70" s="53"/>
      <c r="G70" s="53"/>
    </row>
    <row r="71" spans="1:7">
      <c r="A71">
        <f>IFERROR(IF(B71="",0,IF(VALUE(LEFT(B71,1))&gt;3,VLOOKUP(VALUE(B71),PROYECCIONES!B:D,3,FALSE),0)),1 + COUNTIF($A$2:A70,"&gt;0"))</f>
        <v>0</v>
      </c>
      <c r="C71" s="52"/>
      <c r="D71" s="53"/>
      <c r="E71" s="53"/>
      <c r="F71" s="53"/>
      <c r="G71" s="53"/>
    </row>
    <row r="72" spans="1:7">
      <c r="A72">
        <f>IFERROR(IF(B72="",0,IF(VALUE(LEFT(B72,1))&gt;3,VLOOKUP(VALUE(B72),PROYECCIONES!B:D,3,FALSE),0)),1 + COUNTIF($A$2:A71,"&gt;0"))</f>
        <v>0</v>
      </c>
      <c r="C72" s="52"/>
      <c r="D72" s="53"/>
      <c r="E72" s="53"/>
      <c r="F72" s="53"/>
      <c r="G72" s="53"/>
    </row>
    <row r="73" spans="1:7">
      <c r="A73">
        <f>IFERROR(IF(B73="",0,IF(VALUE(LEFT(B73,1))&gt;3,VLOOKUP(VALUE(B73),PROYECCIONES!B:D,3,FALSE),0)),1 + COUNTIF($A$2:A72,"&gt;0"))</f>
        <v>0</v>
      </c>
      <c r="C73" s="52"/>
      <c r="D73" s="53"/>
      <c r="E73" s="53"/>
      <c r="F73" s="53"/>
      <c r="G73" s="53"/>
    </row>
    <row r="74" spans="1:7">
      <c r="A74">
        <f>IFERROR(IF(B74="",0,IF(VALUE(LEFT(B74,1))&gt;3,VLOOKUP(VALUE(B74),PROYECCIONES!B:D,3,FALSE),0)),1 + COUNTIF($A$2:A73,"&gt;0"))</f>
        <v>0</v>
      </c>
      <c r="C74" s="52"/>
      <c r="D74" s="53"/>
      <c r="E74" s="53"/>
      <c r="F74" s="53"/>
      <c r="G74" s="53"/>
    </row>
    <row r="75" spans="1:7">
      <c r="A75">
        <f>IFERROR(IF(B75="",0,IF(VALUE(LEFT(B75,1))&gt;3,VLOOKUP(VALUE(B75),PROYECCIONES!B:D,3,FALSE),0)),1 + COUNTIF($A$2:A74,"&gt;0"))</f>
        <v>0</v>
      </c>
      <c r="C75" s="52"/>
      <c r="D75" s="53"/>
      <c r="E75" s="53"/>
      <c r="F75" s="53"/>
      <c r="G75" s="53"/>
    </row>
    <row r="76" spans="1:7">
      <c r="A76">
        <f>IFERROR(IF(B76="",0,IF(VALUE(LEFT(B76,1))&gt;3,VLOOKUP(VALUE(B76),PROYECCIONES!B:D,3,FALSE),0)),1 + COUNTIF($A$2:A75,"&gt;0"))</f>
        <v>0</v>
      </c>
      <c r="C76" s="52"/>
      <c r="D76" s="53"/>
      <c r="E76" s="53"/>
      <c r="F76" s="53"/>
      <c r="G76" s="53"/>
    </row>
    <row r="77" spans="1:7">
      <c r="A77">
        <f>IFERROR(IF(B77="",0,IF(VALUE(LEFT(B77,1))&gt;3,VLOOKUP(VALUE(B77),PROYECCIONES!B:D,3,FALSE),0)),1 + COUNTIF($A$2:A76,"&gt;0"))</f>
        <v>0</v>
      </c>
      <c r="C77" s="52"/>
      <c r="D77" s="53"/>
      <c r="E77" s="53"/>
      <c r="F77" s="53"/>
      <c r="G77" s="53"/>
    </row>
    <row r="78" spans="1:7">
      <c r="A78">
        <f>IFERROR(IF(B78="",0,IF(VALUE(LEFT(B78,1))&gt;3,VLOOKUP(VALUE(B78),PROYECCIONES!B:D,3,FALSE),0)),1 + COUNTIF($A$2:A77,"&gt;0"))</f>
        <v>0</v>
      </c>
      <c r="C78" s="52"/>
      <c r="D78" s="53"/>
      <c r="E78" s="53"/>
      <c r="F78" s="53"/>
      <c r="G78" s="53"/>
    </row>
    <row r="79" spans="1:7">
      <c r="A79">
        <f>IFERROR(IF(B79="",0,IF(VALUE(LEFT(B79,1))&gt;3,VLOOKUP(VALUE(B79),PROYECCIONES!B:D,3,FALSE),0)),1 + COUNTIF($A$2:A78,"&gt;0"))</f>
        <v>0</v>
      </c>
      <c r="C79" s="52"/>
      <c r="D79" s="53"/>
      <c r="E79" s="53"/>
      <c r="F79" s="53"/>
      <c r="G79" s="53"/>
    </row>
    <row r="80" spans="1:7">
      <c r="A80">
        <f>IFERROR(IF(B80="",0,IF(VALUE(LEFT(B80,1))&gt;3,VLOOKUP(VALUE(B80),PROYECCIONES!B:D,3,FALSE),0)),1 + COUNTIF($A$2:A79,"&gt;0"))</f>
        <v>0</v>
      </c>
      <c r="C80" s="52"/>
      <c r="D80" s="53"/>
      <c r="E80" s="53"/>
      <c r="F80" s="53"/>
      <c r="G80" s="53"/>
    </row>
    <row r="81" spans="1:7">
      <c r="A81">
        <f>IFERROR(IF(B81="",0,IF(VALUE(LEFT(B81,1))&gt;3,VLOOKUP(VALUE(B81),PROYECCIONES!B:D,3,FALSE),0)),1 + COUNTIF($A$2:A80,"&gt;0"))</f>
        <v>0</v>
      </c>
      <c r="C81" s="52"/>
      <c r="D81" s="53"/>
      <c r="E81" s="53"/>
      <c r="F81" s="53"/>
      <c r="G81" s="53"/>
    </row>
    <row r="82" spans="1:7">
      <c r="A82">
        <f>IFERROR(IF(B82="",0,IF(VALUE(LEFT(B82,1))&gt;3,VLOOKUP(VALUE(B82),PROYECCIONES!B:D,3,FALSE),0)),1 + COUNTIF($A$2:A81,"&gt;0"))</f>
        <v>0</v>
      </c>
      <c r="C82" s="52"/>
      <c r="D82" s="53"/>
      <c r="E82" s="53"/>
      <c r="F82" s="53"/>
      <c r="G82" s="53"/>
    </row>
    <row r="83" spans="1:7">
      <c r="A83">
        <f>IFERROR(IF(B83="",0,IF(VALUE(LEFT(B83,1))&gt;3,VLOOKUP(VALUE(B83),PROYECCIONES!B:D,3,FALSE),0)),1 + COUNTIF($A$2:A82,"&gt;0"))</f>
        <v>0</v>
      </c>
      <c r="C83" s="52"/>
      <c r="D83" s="53"/>
      <c r="E83" s="53"/>
      <c r="F83" s="53"/>
      <c r="G83" s="53"/>
    </row>
    <row r="84" spans="1:7">
      <c r="A84">
        <f>IFERROR(IF(B84="",0,IF(VALUE(LEFT(B84,1))&gt;3,VLOOKUP(VALUE(B84),PROYECCIONES!B:D,3,FALSE),0)),1 + COUNTIF($A$2:A83,"&gt;0"))</f>
        <v>0</v>
      </c>
      <c r="C84" s="52"/>
      <c r="D84" s="53"/>
      <c r="E84" s="53"/>
      <c r="F84" s="53"/>
      <c r="G84" s="53"/>
    </row>
    <row r="85" spans="1:7">
      <c r="A85">
        <f>IFERROR(IF(B85="",0,IF(VALUE(LEFT(B85,1))&gt;3,VLOOKUP(VALUE(B85),PROYECCIONES!B:D,3,FALSE),0)),1 + COUNTIF($A$2:A84,"&gt;0"))</f>
        <v>0</v>
      </c>
      <c r="C85" s="52"/>
      <c r="D85" s="53"/>
      <c r="E85" s="53"/>
      <c r="F85" s="53"/>
      <c r="G85" s="53"/>
    </row>
    <row r="86" spans="1:7">
      <c r="A86">
        <f>IFERROR(IF(B86="",0,IF(VALUE(LEFT(B86,1))&gt;3,VLOOKUP(VALUE(B86),PROYECCIONES!B:D,3,FALSE),0)),1 + COUNTIF($A$2:A85,"&gt;0"))</f>
        <v>0</v>
      </c>
      <c r="C86" s="52"/>
      <c r="D86" s="53"/>
      <c r="E86" s="53"/>
      <c r="F86" s="53"/>
      <c r="G86" s="53"/>
    </row>
    <row r="87" spans="1:7">
      <c r="A87">
        <f>IFERROR(IF(B87="",0,IF(VALUE(LEFT(B87,1))&gt;3,VLOOKUP(VALUE(B87),PROYECCIONES!B:D,3,FALSE),0)),1 + COUNTIF($A$2:A86,"&gt;0"))</f>
        <v>0</v>
      </c>
      <c r="C87" s="52"/>
      <c r="D87" s="53"/>
      <c r="E87" s="53"/>
      <c r="F87" s="53"/>
      <c r="G87" s="53"/>
    </row>
    <row r="88" spans="1:7">
      <c r="A88">
        <f>IFERROR(IF(B88="",0,IF(VALUE(LEFT(B88,1))&gt;3,VLOOKUP(VALUE(B88),PROYECCIONES!B:D,3,FALSE),0)),1 + COUNTIF($A$2:A87,"&gt;0"))</f>
        <v>0</v>
      </c>
      <c r="C88" s="52"/>
      <c r="D88" s="53"/>
      <c r="E88" s="53"/>
      <c r="F88" s="53"/>
      <c r="G88" s="53"/>
    </row>
    <row r="89" spans="1:7">
      <c r="A89">
        <f>IFERROR(IF(B89="",0,IF(VALUE(LEFT(B89,1))&gt;3,VLOOKUP(VALUE(B89),PROYECCIONES!B:D,3,FALSE),0)),1 + COUNTIF($A$2:A88,"&gt;0"))</f>
        <v>0</v>
      </c>
      <c r="C89" s="52"/>
      <c r="D89" s="53"/>
      <c r="E89" s="53"/>
      <c r="F89" s="53"/>
      <c r="G89" s="53"/>
    </row>
    <row r="90" spans="1:7">
      <c r="A90">
        <f>IFERROR(IF(B90="",0,IF(VALUE(LEFT(B90,1))&gt;3,VLOOKUP(VALUE(B90),PROYECCIONES!B:D,3,FALSE),0)),1 + COUNTIF($A$2:A89,"&gt;0"))</f>
        <v>0</v>
      </c>
      <c r="C90" s="52"/>
      <c r="D90" s="53"/>
      <c r="E90" s="53"/>
      <c r="F90" s="53"/>
      <c r="G90" s="53"/>
    </row>
    <row r="91" spans="1:7">
      <c r="A91">
        <f>IFERROR(IF(B91="",0,IF(VALUE(LEFT(B91,1))&gt;3,VLOOKUP(VALUE(B91),PROYECCIONES!B:D,3,FALSE),0)),1 + COUNTIF($A$2:A90,"&gt;0"))</f>
        <v>0</v>
      </c>
      <c r="C91" s="52"/>
      <c r="D91" s="53"/>
      <c r="E91" s="53"/>
      <c r="F91" s="53"/>
      <c r="G91" s="53"/>
    </row>
    <row r="92" spans="1:7">
      <c r="A92">
        <f>IFERROR(IF(B92="",0,IF(VALUE(LEFT(B92,1))&gt;3,VLOOKUP(VALUE(B92),PROYECCIONES!B:D,3,FALSE),0)),1 + COUNTIF($A$2:A91,"&gt;0"))</f>
        <v>0</v>
      </c>
      <c r="C92" s="52"/>
      <c r="D92" s="53"/>
      <c r="E92" s="53"/>
      <c r="F92" s="53"/>
      <c r="G92" s="53"/>
    </row>
    <row r="93" spans="1:7">
      <c r="A93">
        <f>IFERROR(IF(B93="",0,IF(VALUE(LEFT(B93,1))&gt;3,VLOOKUP(VALUE(B93),PROYECCIONES!B:D,3,FALSE),0)),1 + COUNTIF($A$2:A92,"&gt;0"))</f>
        <v>0</v>
      </c>
      <c r="C93" s="52"/>
      <c r="D93" s="53"/>
      <c r="E93" s="53"/>
      <c r="F93" s="53"/>
      <c r="G93" s="53"/>
    </row>
    <row r="94" spans="1:7">
      <c r="A94">
        <f>IFERROR(IF(B94="",0,IF(VALUE(LEFT(B94,1))&gt;3,VLOOKUP(VALUE(B94),PROYECCIONES!B:D,3,FALSE),0)),1 + COUNTIF($A$2:A93,"&gt;0"))</f>
        <v>0</v>
      </c>
      <c r="C94" s="52"/>
      <c r="D94" s="53"/>
      <c r="E94" s="53"/>
      <c r="F94" s="53"/>
      <c r="G94" s="53"/>
    </row>
    <row r="95" spans="1:7">
      <c r="A95">
        <f>IFERROR(IF(B95="",0,IF(VALUE(LEFT(B95,1))&gt;3,VLOOKUP(VALUE(B95),PROYECCIONES!B:D,3,FALSE),0)),1 + COUNTIF($A$2:A94,"&gt;0"))</f>
        <v>0</v>
      </c>
      <c r="C95" s="52"/>
      <c r="D95" s="53"/>
      <c r="E95" s="53"/>
      <c r="F95" s="53"/>
      <c r="G95" s="53"/>
    </row>
    <row r="96" spans="1:7">
      <c r="A96">
        <f>IFERROR(IF(B96="",0,IF(VALUE(LEFT(B96,1))&gt;3,VLOOKUP(VALUE(B96),PROYECCIONES!B:D,3,FALSE),0)),1 + COUNTIF($A$2:A95,"&gt;0"))</f>
        <v>0</v>
      </c>
      <c r="C96" s="52"/>
      <c r="D96" s="53"/>
      <c r="E96" s="53"/>
      <c r="F96" s="53"/>
      <c r="G96" s="53"/>
    </row>
    <row r="97" spans="1:7">
      <c r="A97">
        <f>IFERROR(IF(B97="",0,IF(VALUE(LEFT(B97,1))&gt;3,VLOOKUP(VALUE(B97),PROYECCIONES!B:D,3,FALSE),0)),1 + COUNTIF($A$2:A96,"&gt;0"))</f>
        <v>0</v>
      </c>
      <c r="C97" s="52"/>
      <c r="D97" s="53"/>
      <c r="E97" s="53"/>
      <c r="F97" s="53"/>
      <c r="G97" s="53"/>
    </row>
    <row r="98" spans="1:7">
      <c r="A98">
        <f>IFERROR(IF(B98="",0,IF(VALUE(LEFT(B98,1))&gt;3,VLOOKUP(VALUE(B98),PROYECCIONES!B:D,3,FALSE),0)),1 + COUNTIF($A$2:A97,"&gt;0"))</f>
        <v>0</v>
      </c>
      <c r="C98" s="52"/>
      <c r="D98" s="53"/>
      <c r="E98" s="53"/>
      <c r="F98" s="53"/>
      <c r="G98" s="53"/>
    </row>
    <row r="99" spans="1:7">
      <c r="A99">
        <f>IFERROR(IF(B99="",0,IF(VALUE(LEFT(B99,1))&gt;3,VLOOKUP(VALUE(B99),PROYECCIONES!B:D,3,FALSE),0)),1 + COUNTIF($A$2:A98,"&gt;0"))</f>
        <v>0</v>
      </c>
      <c r="C99" s="52"/>
      <c r="D99" s="53"/>
      <c r="E99" s="53"/>
      <c r="F99" s="53"/>
      <c r="G99" s="53"/>
    </row>
    <row r="100" spans="1:7">
      <c r="A100">
        <f>IFERROR(IF(B100="",0,IF(VALUE(LEFT(B100,1))&gt;3,VLOOKUP(VALUE(B100),PROYECCIONES!B:D,3,FALSE),0)),1 + COUNTIF($A$2:A99,"&gt;0"))</f>
        <v>0</v>
      </c>
      <c r="C100" s="52"/>
      <c r="D100" s="53"/>
      <c r="E100" s="53"/>
      <c r="F100" s="53"/>
      <c r="G100" s="53"/>
    </row>
    <row r="101" spans="1:7">
      <c r="A101">
        <f>IFERROR(IF(B101="",0,IF(VALUE(LEFT(B101,1))&gt;3,VLOOKUP(VALUE(B101),PROYECCIONES!B:D,3,FALSE),0)),1 + COUNTIF($A$2:A100,"&gt;0"))</f>
        <v>0</v>
      </c>
      <c r="C101" s="52"/>
      <c r="D101" s="53"/>
      <c r="E101" s="53"/>
      <c r="F101" s="53"/>
      <c r="G101" s="53"/>
    </row>
    <row r="102" spans="1:7">
      <c r="A102">
        <f>IFERROR(IF(B102="",0,IF(VALUE(LEFT(B102,1))&gt;3,VLOOKUP(VALUE(B102),PROYECCIONES!B:D,3,FALSE),0)),1 + COUNTIF($A$2:A101,"&gt;0"))</f>
        <v>0</v>
      </c>
      <c r="C102" s="52"/>
      <c r="D102" s="53"/>
      <c r="E102" s="53"/>
      <c r="F102" s="53"/>
      <c r="G102" s="53"/>
    </row>
    <row r="103" spans="1:7">
      <c r="A103">
        <f>IFERROR(IF(B103="",0,IF(VALUE(LEFT(B103,1))&gt;3,VLOOKUP(VALUE(B103),PROYECCIONES!B:D,3,FALSE),0)),1 + COUNTIF($A$2:A102,"&gt;0"))</f>
        <v>0</v>
      </c>
      <c r="C103" s="52"/>
      <c r="D103" s="53"/>
      <c r="E103" s="53"/>
      <c r="F103" s="53"/>
      <c r="G103" s="53"/>
    </row>
    <row r="104" spans="1:7">
      <c r="A104">
        <f>IFERROR(IF(B104="",0,IF(VALUE(LEFT(B104,1))&gt;3,VLOOKUP(VALUE(B104),PROYECCIONES!B:D,3,FALSE),0)),1 + COUNTIF($A$2:A103,"&gt;0"))</f>
        <v>0</v>
      </c>
      <c r="C104" s="52"/>
      <c r="D104" s="53"/>
      <c r="E104" s="53"/>
      <c r="F104" s="53"/>
      <c r="G104" s="53"/>
    </row>
    <row r="105" spans="1:7">
      <c r="A105">
        <f>IFERROR(IF(B105="",0,IF(VALUE(LEFT(B105,1))&gt;3,VLOOKUP(VALUE(B105),PROYECCIONES!B:D,3,FALSE),0)),1 + COUNTIF($A$2:A104,"&gt;0"))</f>
        <v>0</v>
      </c>
      <c r="C105" s="52"/>
      <c r="D105" s="53"/>
      <c r="E105" s="53"/>
      <c r="F105" s="53"/>
      <c r="G105" s="53"/>
    </row>
    <row r="106" spans="1:7">
      <c r="A106">
        <f>IFERROR(IF(B106="",0,IF(VALUE(LEFT(B106,1))&gt;3,VLOOKUP(VALUE(B106),PROYECCIONES!B:D,3,FALSE),0)),1 + COUNTIF($A$2:A105,"&gt;0"))</f>
        <v>0</v>
      </c>
      <c r="C106" s="52"/>
      <c r="D106" s="53"/>
      <c r="E106" s="53"/>
      <c r="F106" s="53"/>
      <c r="G106" s="53"/>
    </row>
    <row r="107" spans="1:7">
      <c r="A107">
        <f>IFERROR(IF(B107="",0,IF(VALUE(LEFT(B107,1))&gt;3,VLOOKUP(VALUE(B107),PROYECCIONES!B:D,3,FALSE),0)),1 + COUNTIF($A$2:A106,"&gt;0"))</f>
        <v>0</v>
      </c>
      <c r="C107" s="52"/>
      <c r="D107" s="53"/>
      <c r="E107" s="53"/>
      <c r="F107" s="53"/>
      <c r="G107" s="53"/>
    </row>
    <row r="108" spans="1:7">
      <c r="A108">
        <f>IFERROR(IF(B108="",0,IF(VALUE(LEFT(B108,1))&gt;3,VLOOKUP(VALUE(B108),PROYECCIONES!B:D,3,FALSE),0)),1 + COUNTIF($A$2:A107,"&gt;0"))</f>
        <v>0</v>
      </c>
      <c r="C108" s="52"/>
      <c r="D108" s="53"/>
      <c r="E108" s="53"/>
      <c r="F108" s="53"/>
      <c r="G108" s="53"/>
    </row>
    <row r="109" spans="1:7">
      <c r="A109">
        <f>IFERROR(IF(B109="",0,IF(VALUE(LEFT(B109,1))&gt;3,VLOOKUP(VALUE(B109),PROYECCIONES!B:D,3,FALSE),0)),1 + COUNTIF($A$2:A108,"&gt;0"))</f>
        <v>0</v>
      </c>
      <c r="C109" s="52"/>
      <c r="D109" s="53"/>
      <c r="E109" s="53"/>
      <c r="F109" s="53"/>
      <c r="G109" s="53"/>
    </row>
    <row r="110" spans="1:7">
      <c r="A110">
        <f>IFERROR(IF(B110="",0,IF(VALUE(LEFT(B110,1))&gt;3,VLOOKUP(VALUE(B110),PROYECCIONES!B:D,3,FALSE),0)),1 + COUNTIF($A$2:A109,"&gt;0"))</f>
        <v>0</v>
      </c>
      <c r="C110" s="52"/>
      <c r="D110" s="53"/>
      <c r="E110" s="53"/>
      <c r="F110" s="53"/>
      <c r="G110" s="53"/>
    </row>
    <row r="111" spans="1:7">
      <c r="A111">
        <f>IFERROR(IF(B111="",0,IF(VALUE(LEFT(B111,1))&gt;3,VLOOKUP(VALUE(B111),PROYECCIONES!B:D,3,FALSE),0)),1 + COUNTIF($A$2:A110,"&gt;0"))</f>
        <v>0</v>
      </c>
      <c r="C111" s="52"/>
      <c r="D111" s="53"/>
      <c r="E111" s="53"/>
      <c r="F111" s="53"/>
      <c r="G111" s="53"/>
    </row>
    <row r="112" spans="1:7">
      <c r="A112">
        <f>IFERROR(IF(B112="",0,IF(VALUE(LEFT(B112,1))&gt;3,VLOOKUP(VALUE(B112),PROYECCIONES!B:D,3,FALSE),0)),1 + COUNTIF($A$2:A111,"&gt;0"))</f>
        <v>0</v>
      </c>
      <c r="C112" s="52"/>
      <c r="D112" s="53"/>
      <c r="E112" s="53"/>
      <c r="F112" s="53"/>
      <c r="G112" s="53"/>
    </row>
    <row r="113" spans="1:7">
      <c r="A113">
        <f>IFERROR(IF(B113="",0,IF(VALUE(LEFT(B113,1))&gt;3,VLOOKUP(VALUE(B113),PROYECCIONES!B:D,3,FALSE),0)),1 + COUNTIF($A$2:A112,"&gt;0"))</f>
        <v>0</v>
      </c>
      <c r="C113" s="52"/>
      <c r="D113" s="53"/>
      <c r="E113" s="53"/>
      <c r="F113" s="53"/>
      <c r="G113" s="53"/>
    </row>
    <row r="114" spans="1:7">
      <c r="A114">
        <f>IFERROR(IF(B114="",0,IF(VALUE(LEFT(B114,1))&gt;3,VLOOKUP(VALUE(B114),PROYECCIONES!B:D,3,FALSE),0)),1 + COUNTIF($A$2:A113,"&gt;0"))</f>
        <v>0</v>
      </c>
      <c r="C114" s="52"/>
      <c r="D114" s="53"/>
      <c r="E114" s="53"/>
      <c r="F114" s="53"/>
      <c r="G114" s="53"/>
    </row>
    <row r="115" spans="1:7">
      <c r="A115">
        <f>IFERROR(IF(B115="",0,IF(VALUE(LEFT(B115,1))&gt;3,VLOOKUP(VALUE(B115),PROYECCIONES!B:D,3,FALSE),0)),1 + COUNTIF($A$2:A114,"&gt;0"))</f>
        <v>0</v>
      </c>
      <c r="C115" s="52"/>
      <c r="D115" s="53"/>
      <c r="E115" s="53"/>
      <c r="F115" s="53"/>
      <c r="G115" s="53"/>
    </row>
    <row r="116" spans="1:7">
      <c r="A116">
        <f>IFERROR(IF(B116="",0,IF(VALUE(LEFT(B116,1))&gt;3,VLOOKUP(VALUE(B116),PROYECCIONES!B:D,3,FALSE),0)),1 + COUNTIF($A$2:A115,"&gt;0"))</f>
        <v>0</v>
      </c>
      <c r="C116" s="52"/>
      <c r="D116" s="53"/>
      <c r="E116" s="53"/>
      <c r="F116" s="53"/>
      <c r="G116" s="53"/>
    </row>
    <row r="117" spans="1:7">
      <c r="A117">
        <f>IFERROR(IF(B117="",0,IF(VALUE(LEFT(B117,1))&gt;3,VLOOKUP(VALUE(B117),PROYECCIONES!B:D,3,FALSE),0)),1 + COUNTIF($A$2:A116,"&gt;0"))</f>
        <v>0</v>
      </c>
      <c r="C117" s="52"/>
      <c r="D117" s="53"/>
      <c r="E117" s="53"/>
      <c r="F117" s="53"/>
      <c r="G117" s="53"/>
    </row>
    <row r="118" spans="1:7">
      <c r="A118">
        <f>IFERROR(IF(B118="",0,IF(VALUE(LEFT(B118,1))&gt;3,VLOOKUP(VALUE(B118),PROYECCIONES!B:D,3,FALSE),0)),1 + COUNTIF($A$2:A117,"&gt;0"))</f>
        <v>0</v>
      </c>
      <c r="C118" s="52"/>
      <c r="D118" s="53"/>
      <c r="E118" s="53"/>
      <c r="F118" s="53"/>
      <c r="G118" s="53"/>
    </row>
    <row r="119" spans="1:7">
      <c r="A119">
        <f>IFERROR(IF(B119="",0,IF(VALUE(LEFT(B119,1))&gt;3,VLOOKUP(VALUE(B119),PROYECCIONES!B:D,3,FALSE),0)),1 + COUNTIF($A$2:A118,"&gt;0"))</f>
        <v>0</v>
      </c>
      <c r="C119" s="52"/>
      <c r="D119" s="53"/>
      <c r="E119" s="53"/>
      <c r="F119" s="53"/>
      <c r="G119" s="53"/>
    </row>
    <row r="120" spans="1:7">
      <c r="A120">
        <f>IFERROR(IF(B120="",0,IF(VALUE(LEFT(B120,1))&gt;3,VLOOKUP(VALUE(B120),PROYECCIONES!B:D,3,FALSE),0)),1 + COUNTIF($A$2:A119,"&gt;0"))</f>
        <v>0</v>
      </c>
      <c r="C120" s="52"/>
      <c r="D120" s="53"/>
      <c r="E120" s="53"/>
      <c r="F120" s="53"/>
      <c r="G120" s="53"/>
    </row>
    <row r="121" spans="1:7">
      <c r="A121">
        <f>IFERROR(IF(B121="",0,IF(VALUE(LEFT(B121,1))&gt;3,VLOOKUP(VALUE(B121),PROYECCIONES!B:D,3,FALSE),0)),1 + COUNTIF($A$2:A120,"&gt;0"))</f>
        <v>0</v>
      </c>
      <c r="C121" s="52"/>
      <c r="D121" s="53"/>
      <c r="E121" s="53"/>
      <c r="F121" s="53"/>
      <c r="G121" s="53"/>
    </row>
    <row r="122" spans="1:7">
      <c r="A122">
        <f>IFERROR(IF(B122="",0,IF(VALUE(LEFT(B122,1))&gt;3,VLOOKUP(VALUE(B122),PROYECCIONES!B:D,3,FALSE),0)),1 + COUNTIF($A$2:A121,"&gt;0"))</f>
        <v>0</v>
      </c>
      <c r="C122" s="52"/>
      <c r="D122" s="53"/>
      <c r="E122" s="53"/>
      <c r="F122" s="53"/>
      <c r="G122" s="53"/>
    </row>
    <row r="123" spans="1:7">
      <c r="A123">
        <f>IFERROR(IF(B123="",0,IF(VALUE(LEFT(B123,1))&gt;3,VLOOKUP(VALUE(B123),PROYECCIONES!B:D,3,FALSE),0)),1 + COUNTIF($A$2:A122,"&gt;0"))</f>
        <v>0</v>
      </c>
      <c r="C123" s="52"/>
      <c r="D123" s="53"/>
      <c r="E123" s="53"/>
      <c r="F123" s="53"/>
      <c r="G123" s="53"/>
    </row>
    <row r="124" spans="1:7">
      <c r="A124">
        <f>IFERROR(IF(B124="",0,IF(VALUE(LEFT(B124,1))&gt;3,VLOOKUP(VALUE(B124),PROYECCIONES!B:D,3,FALSE),0)),1 + COUNTIF($A$2:A123,"&gt;0"))</f>
        <v>0</v>
      </c>
      <c r="C124" s="52"/>
      <c r="D124" s="53"/>
      <c r="E124" s="53"/>
      <c r="F124" s="53"/>
      <c r="G124" s="53"/>
    </row>
    <row r="125" spans="1:7">
      <c r="A125">
        <f>IFERROR(IF(B125="",0,IF(VALUE(LEFT(B125,1))&gt;3,VLOOKUP(VALUE(B125),PROYECCIONES!B:D,3,FALSE),0)),1 + COUNTIF($A$2:A124,"&gt;0"))</f>
        <v>0</v>
      </c>
      <c r="C125" s="52"/>
      <c r="D125" s="53"/>
      <c r="E125" s="53"/>
      <c r="F125" s="53"/>
      <c r="G125" s="53"/>
    </row>
    <row r="126" spans="1:7">
      <c r="A126">
        <f>IFERROR(IF(B126="",0,IF(VALUE(LEFT(B126,1))&gt;3,VLOOKUP(VALUE(B126),PROYECCIONES!B:D,3,FALSE),0)),1 + COUNTIF($A$2:A125,"&gt;0"))</f>
        <v>0</v>
      </c>
      <c r="C126" s="52"/>
      <c r="D126" s="53"/>
      <c r="E126" s="53"/>
      <c r="F126" s="53"/>
      <c r="G126" s="53"/>
    </row>
    <row r="127" spans="1:7">
      <c r="A127">
        <f>IFERROR(IF(B127="",0,IF(VALUE(LEFT(B127,1))&gt;3,VLOOKUP(VALUE(B127),PROYECCIONES!B:D,3,FALSE),0)),1 + COUNTIF($A$2:A126,"&gt;0"))</f>
        <v>0</v>
      </c>
      <c r="C127" s="52"/>
      <c r="D127" s="53"/>
      <c r="E127" s="53"/>
      <c r="F127" s="53"/>
      <c r="G127" s="53"/>
    </row>
    <row r="128" spans="1:7">
      <c r="A128">
        <f>IFERROR(IF(B128="",0,IF(VALUE(LEFT(B128,1))&gt;3,VLOOKUP(VALUE(B128),PROYECCIONES!B:D,3,FALSE),0)),1 + COUNTIF($A$2:A127,"&gt;0"))</f>
        <v>0</v>
      </c>
      <c r="C128" s="52"/>
      <c r="D128" s="53"/>
      <c r="E128" s="53"/>
      <c r="F128" s="53"/>
      <c r="G128" s="53"/>
    </row>
    <row r="129" spans="1:7">
      <c r="A129">
        <f>IFERROR(IF(B129="",0,IF(VALUE(LEFT(B129,1))&gt;3,VLOOKUP(VALUE(B129),PROYECCIONES!B:D,3,FALSE),0)),1 + COUNTIF($A$2:A128,"&gt;0"))</f>
        <v>0</v>
      </c>
      <c r="C129" s="52"/>
      <c r="D129" s="53"/>
      <c r="E129" s="53"/>
      <c r="F129" s="53"/>
      <c r="G129" s="53"/>
    </row>
    <row r="130" spans="1:7">
      <c r="A130">
        <f>IFERROR(IF(B130="",0,IF(VALUE(LEFT(B130,1))&gt;3,VLOOKUP(VALUE(B130),PROYECCIONES!B:D,3,FALSE),0)),1 + COUNTIF($A$2:A129,"&gt;0"))</f>
        <v>0</v>
      </c>
      <c r="C130" s="52"/>
      <c r="D130" s="53"/>
      <c r="E130" s="53"/>
      <c r="F130" s="53"/>
      <c r="G130" s="53"/>
    </row>
    <row r="131" spans="1:7">
      <c r="A131">
        <f>IFERROR(IF(B131="",0,IF(VALUE(LEFT(B131,1))&gt;3,VLOOKUP(VALUE(B131),PROYECCIONES!B:D,3,FALSE),0)),1 + COUNTIF($A$2:A130,"&gt;0"))</f>
        <v>0</v>
      </c>
      <c r="C131" s="52"/>
      <c r="D131" s="53"/>
      <c r="E131" s="53"/>
      <c r="F131" s="53"/>
      <c r="G131" s="53"/>
    </row>
    <row r="132" spans="1:7">
      <c r="A132">
        <f>IFERROR(IF(B132="",0,IF(VALUE(LEFT(B132,1))&gt;3,VLOOKUP(VALUE(B132),PROYECCIONES!B:D,3,FALSE),0)),1 + COUNTIF($A$2:A131,"&gt;0"))</f>
        <v>0</v>
      </c>
      <c r="C132" s="52"/>
      <c r="D132" s="53"/>
      <c r="E132" s="53"/>
      <c r="F132" s="53"/>
      <c r="G132" s="53"/>
    </row>
    <row r="133" spans="1:7">
      <c r="A133">
        <f>IFERROR(IF(B133="",0,IF(VALUE(LEFT(B133,1))&gt;3,VLOOKUP(VALUE(B133),PROYECCIONES!B:D,3,FALSE),0)),1 + COUNTIF($A$2:A132,"&gt;0"))</f>
        <v>0</v>
      </c>
      <c r="C133" s="52"/>
      <c r="D133" s="53"/>
      <c r="E133" s="53"/>
      <c r="F133" s="53"/>
      <c r="G133" s="53"/>
    </row>
    <row r="134" spans="1:7">
      <c r="A134">
        <f>IFERROR(IF(B134="",0,IF(VALUE(LEFT(B134,1))&gt;3,VLOOKUP(VALUE(B134),PROYECCIONES!B:D,3,FALSE),0)),1 + COUNTIF($A$2:A133,"&gt;0"))</f>
        <v>0</v>
      </c>
      <c r="C134" s="52"/>
      <c r="D134" s="53"/>
      <c r="E134" s="53"/>
      <c r="F134" s="53"/>
      <c r="G134" s="53"/>
    </row>
    <row r="135" spans="1:7">
      <c r="A135">
        <f>IFERROR(IF(B135="",0,IF(VALUE(LEFT(B135,1))&gt;3,VLOOKUP(VALUE(B135),PROYECCIONES!B:D,3,FALSE),0)),1 + COUNTIF($A$2:A134,"&gt;0"))</f>
        <v>0</v>
      </c>
      <c r="C135" s="52"/>
      <c r="D135" s="53"/>
      <c r="E135" s="53"/>
      <c r="F135" s="53"/>
      <c r="G135" s="53"/>
    </row>
    <row r="136" spans="1:7">
      <c r="A136">
        <f>IFERROR(IF(B136="",0,IF(VALUE(LEFT(B136,1))&gt;3,VLOOKUP(VALUE(B136),PROYECCIONES!B:D,3,FALSE),0)),1 + COUNTIF($A$2:A135,"&gt;0"))</f>
        <v>0</v>
      </c>
      <c r="C136" s="52"/>
      <c r="D136" s="53"/>
      <c r="E136" s="53"/>
      <c r="F136" s="53"/>
      <c r="G136" s="53"/>
    </row>
    <row r="137" spans="1:7">
      <c r="A137">
        <f>IFERROR(IF(B137="",0,IF(VALUE(LEFT(B137,1))&gt;3,VLOOKUP(VALUE(B137),PROYECCIONES!B:D,3,FALSE),0)),1 + COUNTIF($A$2:A136,"&gt;0"))</f>
        <v>0</v>
      </c>
      <c r="C137" s="52"/>
      <c r="D137" s="53"/>
      <c r="E137" s="53"/>
      <c r="F137" s="53"/>
      <c r="G137" s="53"/>
    </row>
    <row r="138" spans="1:7">
      <c r="A138">
        <f>IFERROR(IF(B138="",0,IF(VALUE(LEFT(B138,1))&gt;3,VLOOKUP(VALUE(B138),PROYECCIONES!B:D,3,FALSE),0)),1 + COUNTIF($A$2:A137,"&gt;0"))</f>
        <v>0</v>
      </c>
      <c r="C138" s="52"/>
      <c r="D138" s="53"/>
      <c r="E138" s="53"/>
      <c r="F138" s="53"/>
      <c r="G138" s="53"/>
    </row>
    <row r="139" spans="1:7">
      <c r="A139">
        <f>IFERROR(IF(B139="",0,IF(VALUE(LEFT(B139,1))&gt;3,VLOOKUP(VALUE(B139),PROYECCIONES!B:D,3,FALSE),0)),1 + COUNTIF($A$2:A138,"&gt;0"))</f>
        <v>0</v>
      </c>
      <c r="C139" s="52"/>
      <c r="D139" s="53"/>
      <c r="E139" s="53"/>
      <c r="F139" s="53"/>
      <c r="G139" s="53"/>
    </row>
    <row r="140" spans="1:7">
      <c r="A140">
        <f>IFERROR(IF(B140="",0,IF(VALUE(LEFT(B140,1))&gt;3,VLOOKUP(VALUE(B140),PROYECCIONES!B:D,3,FALSE),0)),1 + COUNTIF($A$2:A139,"&gt;0"))</f>
        <v>0</v>
      </c>
      <c r="C140" s="52"/>
      <c r="D140" s="53"/>
      <c r="E140" s="53"/>
      <c r="F140" s="53"/>
      <c r="G140" s="53"/>
    </row>
    <row r="141" spans="1:7">
      <c r="A141">
        <f>IFERROR(IF(B141="",0,IF(VALUE(LEFT(B141,1))&gt;3,VLOOKUP(VALUE(B141),PROYECCIONES!B:D,3,FALSE),0)),1 + COUNTIF($A$2:A140,"&gt;0"))</f>
        <v>0</v>
      </c>
      <c r="C141" s="52"/>
      <c r="D141" s="53"/>
      <c r="E141" s="53"/>
      <c r="F141" s="53"/>
      <c r="G141" s="53"/>
    </row>
    <row r="142" spans="1:7">
      <c r="A142">
        <f>IFERROR(IF(B142="",0,IF(VALUE(LEFT(B142,1))&gt;3,VLOOKUP(VALUE(B142),PROYECCIONES!B:D,3,FALSE),0)),1 + COUNTIF($A$2:A141,"&gt;0"))</f>
        <v>0</v>
      </c>
      <c r="C142" s="52"/>
      <c r="D142" s="53"/>
      <c r="E142" s="53"/>
      <c r="F142" s="53"/>
      <c r="G142" s="53"/>
    </row>
    <row r="143" spans="1:7">
      <c r="A143">
        <f>IFERROR(IF(B143="",0,IF(VALUE(LEFT(B143,1))&gt;3,VLOOKUP(VALUE(B143),PROYECCIONES!B:D,3,FALSE),0)),1 + COUNTIF($A$2:A142,"&gt;0"))</f>
        <v>0</v>
      </c>
      <c r="C143" s="52"/>
      <c r="D143" s="53"/>
      <c r="E143" s="53"/>
      <c r="F143" s="53"/>
      <c r="G143" s="53"/>
    </row>
    <row r="144" spans="1:7">
      <c r="A144">
        <f>IFERROR(IF(B144="",0,IF(VALUE(LEFT(B144,1))&gt;3,VLOOKUP(VALUE(B144),PROYECCIONES!B:D,3,FALSE),0)),1 + COUNTIF($A$2:A143,"&gt;0"))</f>
        <v>0</v>
      </c>
      <c r="C144" s="52"/>
      <c r="D144" s="53"/>
      <c r="E144" s="53"/>
      <c r="F144" s="53"/>
      <c r="G144" s="53"/>
    </row>
    <row r="145" spans="1:7">
      <c r="A145">
        <f>IFERROR(IF(B145="",0,IF(VALUE(LEFT(B145,1))&gt;3,VLOOKUP(VALUE(B145),PROYECCIONES!B:D,3,FALSE),0)),1 + COUNTIF($A$2:A144,"&gt;0"))</f>
        <v>0</v>
      </c>
      <c r="C145" s="52"/>
      <c r="D145" s="53"/>
      <c r="E145" s="53"/>
      <c r="F145" s="53"/>
      <c r="G145" s="53"/>
    </row>
    <row r="146" spans="1:7">
      <c r="A146">
        <f>IFERROR(IF(B146="",0,IF(VALUE(LEFT(B146,1))&gt;3,VLOOKUP(VALUE(B146),PROYECCIONES!B:D,3,FALSE),0)),1 + COUNTIF($A$2:A145,"&gt;0"))</f>
        <v>0</v>
      </c>
      <c r="C146" s="52"/>
      <c r="D146" s="53"/>
      <c r="E146" s="53"/>
      <c r="F146" s="53"/>
      <c r="G146" s="53"/>
    </row>
    <row r="147" spans="1:7">
      <c r="A147">
        <f>IFERROR(IF(B147="",0,IF(VALUE(LEFT(B147,1))&gt;3,VLOOKUP(VALUE(B147),PROYECCIONES!B:D,3,FALSE),0)),1 + COUNTIF($A$2:A146,"&gt;0"))</f>
        <v>0</v>
      </c>
      <c r="C147" s="52"/>
      <c r="D147" s="53"/>
      <c r="E147" s="53"/>
      <c r="F147" s="53"/>
      <c r="G147" s="53"/>
    </row>
    <row r="148" spans="1:7">
      <c r="A148">
        <f>IFERROR(IF(B148="",0,IF(VALUE(LEFT(B148,1))&gt;3,VLOOKUP(VALUE(B148),PROYECCIONES!B:D,3,FALSE),0)),1 + COUNTIF($A$2:A147,"&gt;0"))</f>
        <v>0</v>
      </c>
      <c r="C148" s="52"/>
      <c r="D148" s="53"/>
      <c r="E148" s="53"/>
      <c r="F148" s="53"/>
      <c r="G148" s="53"/>
    </row>
    <row r="149" spans="1:7">
      <c r="A149">
        <f>IFERROR(IF(B149="",0,IF(VALUE(LEFT(B149,1))&gt;3,VLOOKUP(VALUE(B149),PROYECCIONES!B:D,3,FALSE),0)),1 + COUNTIF($A$2:A148,"&gt;0"))</f>
        <v>0</v>
      </c>
      <c r="C149" s="52"/>
      <c r="D149" s="53"/>
      <c r="E149" s="53"/>
      <c r="F149" s="53"/>
      <c r="G149" s="53"/>
    </row>
    <row r="150" spans="1:7">
      <c r="A150">
        <f>IFERROR(IF(B150="",0,IF(VALUE(LEFT(B150,1))&gt;3,VLOOKUP(VALUE(B150),PROYECCIONES!B:D,3,FALSE),0)),1 + COUNTIF($A$2:A149,"&gt;0"))</f>
        <v>0</v>
      </c>
      <c r="C150" s="52"/>
      <c r="D150" s="53"/>
      <c r="E150" s="53"/>
      <c r="F150" s="53"/>
      <c r="G150" s="53"/>
    </row>
    <row r="151" spans="1:7">
      <c r="A151">
        <f>IFERROR(IF(B151="",0,IF(VALUE(LEFT(B151,1))&gt;3,VLOOKUP(VALUE(B151),PROYECCIONES!B:D,3,FALSE),0)),1 + COUNTIF($A$2:A150,"&gt;0"))</f>
        <v>0</v>
      </c>
      <c r="C151" s="52"/>
      <c r="D151" s="53"/>
      <c r="E151" s="53"/>
      <c r="F151" s="53"/>
      <c r="G151" s="53"/>
    </row>
    <row r="152" spans="1:7">
      <c r="A152">
        <f>IFERROR(IF(B152="",0,IF(VALUE(LEFT(B152,1))&gt;3,VLOOKUP(VALUE(B152),PROYECCIONES!B:D,3,FALSE),0)),1 + COUNTIF($A$2:A151,"&gt;0"))</f>
        <v>0</v>
      </c>
      <c r="C152" s="52"/>
      <c r="D152" s="53"/>
      <c r="E152" s="53"/>
      <c r="F152" s="53"/>
      <c r="G152" s="53"/>
    </row>
    <row r="153" spans="1:7">
      <c r="A153">
        <f>IFERROR(IF(B153="",0,IF(VALUE(LEFT(B153,1))&gt;3,VLOOKUP(VALUE(B153),PROYECCIONES!B:D,3,FALSE),0)),1 + COUNTIF($A$2:A152,"&gt;0"))</f>
        <v>0</v>
      </c>
      <c r="C153" s="52"/>
      <c r="D153" s="53"/>
      <c r="E153" s="53"/>
      <c r="F153" s="53"/>
      <c r="G153" s="53"/>
    </row>
    <row r="154" spans="1:7">
      <c r="A154">
        <f>IFERROR(IF(B154="",0,IF(VALUE(LEFT(B154,1))&gt;3,VLOOKUP(VALUE(B154),PROYECCIONES!B:D,3,FALSE),0)),1 + COUNTIF($A$2:A153,"&gt;0"))</f>
        <v>0</v>
      </c>
      <c r="C154" s="52"/>
      <c r="D154" s="53"/>
      <c r="E154" s="53"/>
      <c r="F154" s="53"/>
      <c r="G154" s="53"/>
    </row>
    <row r="155" spans="1:7">
      <c r="A155">
        <f>IFERROR(IF(B155="",0,IF(VALUE(LEFT(B155,1))&gt;3,VLOOKUP(VALUE(B155),PROYECCIONES!B:D,3,FALSE),0)),1 + COUNTIF($A$2:A154,"&gt;0"))</f>
        <v>0</v>
      </c>
      <c r="C155" s="52"/>
      <c r="D155" s="53"/>
      <c r="E155" s="53"/>
      <c r="F155" s="53"/>
      <c r="G155" s="53"/>
    </row>
    <row r="156" spans="1:7">
      <c r="A156">
        <f>IFERROR(IF(B156="",0,IF(VALUE(LEFT(B156,1))&gt;3,VLOOKUP(VALUE(B156),PROYECCIONES!B:D,3,FALSE),0)),1 + COUNTIF($A$2:A155,"&gt;0"))</f>
        <v>0</v>
      </c>
      <c r="C156" s="52"/>
      <c r="D156" s="53"/>
      <c r="E156" s="53"/>
      <c r="F156" s="53"/>
      <c r="G156" s="53"/>
    </row>
    <row r="157" spans="1:7">
      <c r="A157">
        <f>IFERROR(IF(B157="",0,IF(VALUE(LEFT(B157,1))&gt;3,VLOOKUP(VALUE(B157),PROYECCIONES!B:D,3,FALSE),0)),1 + COUNTIF($A$2:A156,"&gt;0"))</f>
        <v>0</v>
      </c>
      <c r="C157" s="52"/>
      <c r="D157" s="53"/>
      <c r="E157" s="53"/>
      <c r="F157" s="53"/>
      <c r="G157" s="53"/>
    </row>
    <row r="158" spans="1:7">
      <c r="A158">
        <f>IFERROR(IF(B158="",0,IF(VALUE(LEFT(B158,1))&gt;3,VLOOKUP(VALUE(B158),PROYECCIONES!B:D,3,FALSE),0)),1 + COUNTIF($A$2:A157,"&gt;0"))</f>
        <v>0</v>
      </c>
      <c r="C158" s="52"/>
      <c r="D158" s="53"/>
      <c r="E158" s="53"/>
      <c r="F158" s="53"/>
      <c r="G158" s="53"/>
    </row>
    <row r="159" spans="1:7">
      <c r="A159">
        <f>IFERROR(IF(B159="",0,IF(VALUE(LEFT(B159,1))&gt;3,VLOOKUP(VALUE(B159),PROYECCIONES!B:D,3,FALSE),0)),1 + COUNTIF($A$2:A158,"&gt;0"))</f>
        <v>0</v>
      </c>
      <c r="C159" s="52"/>
      <c r="D159" s="53"/>
      <c r="E159" s="53"/>
      <c r="F159" s="53"/>
      <c r="G159" s="53"/>
    </row>
    <row r="160" spans="1:7">
      <c r="A160">
        <f>IFERROR(IF(B160="",0,IF(VALUE(LEFT(B160,1))&gt;3,VLOOKUP(VALUE(B160),PROYECCIONES!B:D,3,FALSE),0)),1 + COUNTIF($A$2:A159,"&gt;0"))</f>
        <v>0</v>
      </c>
      <c r="C160" s="52"/>
      <c r="D160" s="53"/>
      <c r="E160" s="53"/>
      <c r="F160" s="53"/>
      <c r="G160" s="53"/>
    </row>
    <row r="161" spans="1:7">
      <c r="A161">
        <f>IFERROR(IF(B161="",0,IF(VALUE(LEFT(B161,1))&gt;3,VLOOKUP(VALUE(B161),PROYECCIONES!B:D,3,FALSE),0)),1 + COUNTIF($A$2:A160,"&gt;0"))</f>
        <v>0</v>
      </c>
      <c r="C161" s="52"/>
      <c r="D161" s="53"/>
      <c r="E161" s="53"/>
      <c r="F161" s="53"/>
      <c r="G161" s="53"/>
    </row>
    <row r="162" spans="1:7">
      <c r="A162">
        <f>IFERROR(IF(B162="",0,IF(VALUE(LEFT(B162,1))&gt;3,VLOOKUP(VALUE(B162),PROYECCIONES!B:D,3,FALSE),0)),1 + COUNTIF($A$2:A161,"&gt;0"))</f>
        <v>0</v>
      </c>
      <c r="C162" s="52"/>
      <c r="D162" s="53"/>
      <c r="E162" s="53"/>
      <c r="F162" s="53"/>
      <c r="G162" s="53"/>
    </row>
    <row r="163" spans="1:7">
      <c r="A163">
        <f>IFERROR(IF(B163="",0,IF(VALUE(LEFT(B163,1))&gt;3,VLOOKUP(VALUE(B163),PROYECCIONES!B:D,3,FALSE),0)),1 + COUNTIF($A$2:A162,"&gt;0"))</f>
        <v>0</v>
      </c>
      <c r="C163" s="52"/>
      <c r="D163" s="53"/>
      <c r="E163" s="53"/>
      <c r="F163" s="53"/>
      <c r="G163" s="53"/>
    </row>
    <row r="164" spans="1:7">
      <c r="A164">
        <f>IFERROR(IF(B164="",0,IF(VALUE(LEFT(B164,1))&gt;3,VLOOKUP(VALUE(B164),PROYECCIONES!B:D,3,FALSE),0)),1 + COUNTIF($A$2:A163,"&gt;0"))</f>
        <v>0</v>
      </c>
      <c r="C164" s="52"/>
      <c r="D164" s="53"/>
      <c r="E164" s="53"/>
      <c r="F164" s="53"/>
      <c r="G164" s="53"/>
    </row>
    <row r="165" spans="1:7">
      <c r="A165">
        <f>IFERROR(IF(B165="",0,IF(VALUE(LEFT(B165,1))&gt;3,VLOOKUP(VALUE(B165),PROYECCIONES!B:D,3,FALSE),0)),1 + COUNTIF($A$2:A164,"&gt;0"))</f>
        <v>0</v>
      </c>
      <c r="C165" s="52"/>
      <c r="D165" s="53"/>
      <c r="E165" s="53"/>
      <c r="F165" s="53"/>
      <c r="G165" s="53"/>
    </row>
    <row r="166" spans="1:7">
      <c r="A166">
        <f>IFERROR(IF(B166="",0,IF(VALUE(LEFT(B166,1))&gt;3,VLOOKUP(VALUE(B166),PROYECCIONES!B:D,3,FALSE),0)),1 + COUNTIF($A$2:A165,"&gt;0"))</f>
        <v>0</v>
      </c>
      <c r="C166" s="52"/>
      <c r="D166" s="53"/>
      <c r="E166" s="53"/>
      <c r="F166" s="53"/>
      <c r="G166" s="53"/>
    </row>
    <row r="167" spans="1:7">
      <c r="A167">
        <f>IFERROR(IF(B167="",0,IF(VALUE(LEFT(B167,1))&gt;3,VLOOKUP(VALUE(B167),PROYECCIONES!B:D,3,FALSE),0)),1 + COUNTIF($A$2:A166,"&gt;0"))</f>
        <v>0</v>
      </c>
      <c r="C167" s="52"/>
      <c r="D167" s="53"/>
      <c r="E167" s="53"/>
      <c r="F167" s="53"/>
      <c r="G167" s="53"/>
    </row>
    <row r="168" spans="1:7">
      <c r="A168">
        <f>IFERROR(IF(B168="",0,IF(VALUE(LEFT(B168,1))&gt;3,VLOOKUP(VALUE(B168),PROYECCIONES!B:D,3,FALSE),0)),1 + COUNTIF($A$2:A167,"&gt;0"))</f>
        <v>0</v>
      </c>
      <c r="C168" s="52"/>
      <c r="D168" s="53"/>
      <c r="E168" s="53"/>
      <c r="F168" s="53"/>
      <c r="G168" s="53"/>
    </row>
    <row r="169" spans="1:7">
      <c r="A169">
        <f>IFERROR(IF(B169="",0,IF(VALUE(LEFT(B169,1))&gt;3,VLOOKUP(VALUE(B169),PROYECCIONES!B:D,3,FALSE),0)),1 + COUNTIF($A$2:A168,"&gt;0"))</f>
        <v>0</v>
      </c>
      <c r="C169" s="52"/>
      <c r="D169" s="53"/>
      <c r="E169" s="53"/>
      <c r="F169" s="53"/>
      <c r="G169" s="53"/>
    </row>
    <row r="170" spans="1:7">
      <c r="A170">
        <f>IFERROR(IF(B170="",0,IF(VALUE(LEFT(B170,1))&gt;3,VLOOKUP(VALUE(B170),PROYECCIONES!B:D,3,FALSE),0)),1 + COUNTIF($A$2:A169,"&gt;0"))</f>
        <v>0</v>
      </c>
      <c r="C170" s="52"/>
      <c r="D170" s="53"/>
      <c r="E170" s="53"/>
      <c r="F170" s="53"/>
      <c r="G170" s="53"/>
    </row>
    <row r="171" spans="1:7">
      <c r="A171">
        <f>IFERROR(IF(B171="",0,IF(VALUE(LEFT(B171,1))&gt;3,VLOOKUP(VALUE(B171),PROYECCIONES!B:D,3,FALSE),0)),1 + COUNTIF($A$2:A170,"&gt;0"))</f>
        <v>0</v>
      </c>
      <c r="C171" s="52"/>
      <c r="D171" s="53"/>
      <c r="E171" s="53"/>
      <c r="F171" s="53"/>
      <c r="G171" s="53"/>
    </row>
    <row r="172" spans="1:7">
      <c r="A172">
        <f>IFERROR(IF(B172="",0,IF(VALUE(LEFT(B172,1))&gt;3,VLOOKUP(VALUE(B172),PROYECCIONES!B:D,3,FALSE),0)),1 + COUNTIF($A$2:A171,"&gt;0"))</f>
        <v>0</v>
      </c>
      <c r="C172" s="52"/>
      <c r="D172" s="53"/>
      <c r="E172" s="53"/>
      <c r="F172" s="53"/>
      <c r="G172" s="53"/>
    </row>
    <row r="173" spans="1:7">
      <c r="A173">
        <f>IFERROR(IF(B173="",0,IF(VALUE(LEFT(B173,1))&gt;3,VLOOKUP(VALUE(B173),PROYECCIONES!B:D,3,FALSE),0)),1 + COUNTIF($A$2:A172,"&gt;0"))</f>
        <v>0</v>
      </c>
      <c r="C173" s="52"/>
      <c r="D173" s="53"/>
      <c r="E173" s="53"/>
      <c r="F173" s="53"/>
      <c r="G173" s="53"/>
    </row>
    <row r="174" spans="1:7">
      <c r="A174">
        <f>IFERROR(IF(B174="",0,IF(VALUE(LEFT(B174,1))&gt;3,VLOOKUP(VALUE(B174),PROYECCIONES!B:D,3,FALSE),0)),1 + COUNTIF($A$2:A173,"&gt;0"))</f>
        <v>0</v>
      </c>
      <c r="C174" s="52"/>
      <c r="D174" s="53"/>
      <c r="E174" s="53"/>
      <c r="F174" s="53"/>
      <c r="G174" s="53"/>
    </row>
    <row r="175" spans="1:7">
      <c r="A175">
        <f>IFERROR(IF(B175="",0,IF(VALUE(LEFT(B175,1))&gt;3,VLOOKUP(VALUE(B175),PROYECCIONES!B:D,3,FALSE),0)),1 + COUNTIF($A$2:A174,"&gt;0"))</f>
        <v>0</v>
      </c>
      <c r="C175" s="52"/>
      <c r="D175" s="53"/>
      <c r="E175" s="53"/>
      <c r="F175" s="53"/>
      <c r="G175" s="53"/>
    </row>
    <row r="176" spans="1:7">
      <c r="A176">
        <f>IFERROR(IF(B176="",0,IF(VALUE(LEFT(B176,1))&gt;3,VLOOKUP(VALUE(B176),PROYECCIONES!B:D,3,FALSE),0)),1 + COUNTIF($A$2:A175,"&gt;0"))</f>
        <v>0</v>
      </c>
      <c r="C176" s="52"/>
      <c r="D176" s="53"/>
      <c r="E176" s="53"/>
      <c r="F176" s="53"/>
      <c r="G176" s="53"/>
    </row>
    <row r="177" spans="1:9">
      <c r="A177">
        <f>IFERROR(IF(B177="",0,IF(VALUE(LEFT(B177,1))&gt;3,VLOOKUP(VALUE(B177),PROYECCIONES!B:D,3,FALSE),0)),1 + COUNTIF($A$2:A176,"&gt;0"))</f>
        <v>0</v>
      </c>
      <c r="C177" s="52"/>
      <c r="D177" s="53"/>
      <c r="E177" s="53"/>
      <c r="F177" s="53"/>
      <c r="G177" s="53"/>
    </row>
    <row r="178" spans="1:9">
      <c r="A178">
        <f>IFERROR(IF(B178="",0,IF(VALUE(LEFT(B178,1))&gt;3,VLOOKUP(VALUE(B178),PROYECCIONES!B:D,3,FALSE),0)),1 + COUNTIF($A$2:A177,"&gt;0"))</f>
        <v>0</v>
      </c>
      <c r="C178" s="52"/>
      <c r="D178" s="53"/>
      <c r="E178" s="53"/>
      <c r="F178" s="53"/>
      <c r="G178" s="53"/>
    </row>
    <row r="179" spans="1:9">
      <c r="A179">
        <f>IFERROR(IF(B179="",0,IF(VALUE(LEFT(B179,1))&gt;3,VLOOKUP(VALUE(B179),PROYECCIONES!B:D,3,FALSE),0)),1 + COUNTIF($A$2:A178,"&gt;0"))</f>
        <v>0</v>
      </c>
      <c r="C179" s="52"/>
      <c r="D179" s="53"/>
      <c r="E179" s="53"/>
      <c r="F179" s="53"/>
      <c r="G179" s="53"/>
    </row>
    <row r="180" spans="1:9">
      <c r="A180">
        <f>IFERROR(IF(B180="",0,IF(VALUE(LEFT(B180,1))&gt;3,VLOOKUP(VALUE(B180),PROYECCIONES!B:D,3,FALSE),0)),1 + COUNTIF($A$2:A179,"&gt;0"))</f>
        <v>0</v>
      </c>
      <c r="C180" s="52"/>
      <c r="D180" s="53"/>
      <c r="E180" s="53"/>
      <c r="F180" s="53"/>
      <c r="G180" s="53"/>
    </row>
    <row r="181" spans="1:9">
      <c r="A181">
        <f>IFERROR(IF(B181="",0,IF(VALUE(LEFT(B181,1))&gt;3,VLOOKUP(VALUE(B181),PROYECCIONES!B:D,3,FALSE),0)),1 + COUNTIF($A$2:A180,"&gt;0"))</f>
        <v>0</v>
      </c>
      <c r="C181" s="52"/>
      <c r="D181" s="53"/>
      <c r="E181" s="53"/>
      <c r="F181" s="53"/>
      <c r="G181" s="53"/>
    </row>
    <row r="182" spans="1:9">
      <c r="A182">
        <f>IFERROR(IF(B182="",0,IF(VALUE(LEFT(B182,1))&gt;3,VLOOKUP(VALUE(B182),PROYECCIONES!B:D,3,FALSE),0)),1 + COUNTIF($A$2:A181,"&gt;0"))</f>
        <v>0</v>
      </c>
      <c r="C182" s="52"/>
      <c r="D182" s="53"/>
      <c r="E182" s="53"/>
      <c r="F182" s="53"/>
      <c r="G182" s="53"/>
    </row>
    <row r="183" spans="1:9">
      <c r="A183">
        <f>IFERROR(IF(B183="",0,IF(VALUE(LEFT(B183,1))&gt;3,VLOOKUP(VALUE(B183),PROYECCIONES!B:D,3,FALSE),0)),1 + COUNTIF($A$2:A182,"&gt;0"))</f>
        <v>0</v>
      </c>
      <c r="C183" s="52"/>
      <c r="D183" s="53"/>
      <c r="E183" s="53"/>
      <c r="F183" s="53"/>
      <c r="G183" s="53"/>
    </row>
    <row r="184" spans="1:9">
      <c r="A184">
        <f>IFERROR(IF(B184="",0,IF(VALUE(LEFT(B184,1))&gt;3,VLOOKUP(VALUE(B184),PROYECCIONES!B:D,3,FALSE),0)),1 + COUNTIF($A$2:A183,"&gt;0"))</f>
        <v>0</v>
      </c>
      <c r="C184" s="52"/>
      <c r="D184" s="53"/>
      <c r="E184" s="53"/>
      <c r="F184" s="53"/>
      <c r="G184" s="53"/>
    </row>
    <row r="185" spans="1:9">
      <c r="A185">
        <f>IFERROR(IF(B185="",0,IF(VALUE(LEFT(B185,1))&gt;3,VLOOKUP(VALUE(B185),PROYECCIONES!B:D,3,FALSE),0)),1 + COUNTIF($A$2:A184,"&gt;0"))</f>
        <v>0</v>
      </c>
      <c r="C185" s="52"/>
      <c r="D185" s="53"/>
      <c r="E185" s="53"/>
      <c r="F185" s="53"/>
      <c r="G185" s="53"/>
      <c r="I185">
        <f>COUNTIF(A:A,"No Agregada")</f>
        <v>0</v>
      </c>
    </row>
    <row r="186" spans="1:9">
      <c r="A186">
        <f>IFERROR(IF(B186="",0,IF(VALUE(LEFT(B186,1))&gt;3,VLOOKUP(VALUE(B186),PROYECCIONES!B:D,3,FALSE),0)),1 + COUNTIF($A$2:A185,"&gt;0"))</f>
        <v>0</v>
      </c>
      <c r="C186" s="52"/>
      <c r="D186" s="53"/>
      <c r="E186" s="53"/>
      <c r="F186" s="53"/>
      <c r="G186" s="53"/>
    </row>
    <row r="187" spans="1:9">
      <c r="A187">
        <f>IFERROR(IF(B187="",0,IF(VALUE(LEFT(B187,1))&gt;3,VLOOKUP(VALUE(B187),PROYECCIONES!B:D,3,FALSE),0)),1 + COUNTIF($A$2:A186,"&gt;0"))</f>
        <v>0</v>
      </c>
      <c r="C187" s="52"/>
      <c r="D187" s="53"/>
      <c r="E187" s="53"/>
      <c r="F187" s="53"/>
      <c r="G187" s="53"/>
    </row>
    <row r="188" spans="1:9">
      <c r="A188">
        <f>IFERROR(IF(B188="",0,IF(VALUE(LEFT(B188,1))&gt;3,VLOOKUP(VALUE(B188),PROYECCIONES!B:D,3,FALSE),0)),1 + COUNTIF($A$2:A187,"&gt;0"))</f>
        <v>0</v>
      </c>
      <c r="C188" s="52"/>
      <c r="D188" s="53"/>
      <c r="E188" s="53"/>
      <c r="F188" s="53"/>
      <c r="G188" s="53"/>
    </row>
    <row r="189" spans="1:9">
      <c r="A189">
        <f>IFERROR(IF(B189="",0,IF(VALUE(LEFT(B189,1))&gt;3,VLOOKUP(VALUE(B189),PROYECCIONES!B:D,3,FALSE),0)),1 + COUNTIF($A$2:A188,"&gt;0"))</f>
        <v>0</v>
      </c>
      <c r="C189" s="52"/>
      <c r="D189" s="53"/>
      <c r="E189" s="53"/>
      <c r="F189" s="53"/>
      <c r="G189" s="53"/>
    </row>
    <row r="190" spans="1:9">
      <c r="A190">
        <f>IFERROR(IF(B190="",0,IF(VALUE(LEFT(B190,1))&gt;3,VLOOKUP(VALUE(B190),PROYECCIONES!B:D,3,FALSE),0)),1 + COUNTIF($A$2:A189,"&gt;0"))</f>
        <v>0</v>
      </c>
      <c r="C190" s="52"/>
      <c r="D190" s="53"/>
      <c r="E190" s="53"/>
      <c r="F190" s="53"/>
      <c r="G190" s="53"/>
    </row>
    <row r="191" spans="1:9">
      <c r="A191">
        <f>IFERROR(IF(B191="",0,IF(VALUE(LEFT(B191,1))&gt;3,VLOOKUP(VALUE(B191),PROYECCIONES!B:D,3,FALSE),0)),1 + COUNTIF($A$2:A190,"&gt;0"))</f>
        <v>0</v>
      </c>
      <c r="C191" s="52"/>
      <c r="D191" s="53"/>
      <c r="E191" s="53"/>
      <c r="F191" s="53"/>
      <c r="G191" s="53"/>
    </row>
    <row r="192" spans="1:9">
      <c r="A192">
        <f>IFERROR(IF(B192="",0,IF(VALUE(LEFT(B192,1))&gt;3,VLOOKUP(VALUE(B192),PROYECCIONES!B:D,3,FALSE),0)),1 + COUNTIF($A$2:A191,"&gt;0"))</f>
        <v>0</v>
      </c>
      <c r="C192" s="52"/>
      <c r="D192" s="53"/>
      <c r="E192" s="53"/>
      <c r="F192" s="53"/>
      <c r="G192" s="53"/>
    </row>
    <row r="193" spans="1:7">
      <c r="A193">
        <f>IFERROR(IF(B193="",0,IF(VALUE(LEFT(B193,1))&gt;3,VLOOKUP(VALUE(B193),PROYECCIONES!B:D,3,FALSE),0)),1 + COUNTIF($A$2:A192,"&gt;0"))</f>
        <v>0</v>
      </c>
      <c r="C193" s="52"/>
      <c r="D193" s="53"/>
      <c r="E193" s="53"/>
      <c r="F193" s="53"/>
      <c r="G193" s="53"/>
    </row>
    <row r="194" spans="1:7">
      <c r="A194">
        <f>IFERROR(IF(B194="",0,IF(VALUE(LEFT(B194,1))&gt;3,VLOOKUP(VALUE(B194),PROYECCIONES!B:D,3,FALSE),0)),1 + COUNTIF($A$2:A193,"&gt;0"))</f>
        <v>0</v>
      </c>
      <c r="C194" s="52"/>
      <c r="D194" s="53"/>
      <c r="E194" s="53"/>
      <c r="F194" s="53"/>
      <c r="G194" s="53"/>
    </row>
    <row r="195" spans="1:7">
      <c r="A195">
        <f>IFERROR(IF(B195="",0,IF(VALUE(LEFT(B195,1))&gt;3,VLOOKUP(VALUE(B195),PROYECCIONES!B:D,3,FALSE),0)),1 + COUNTIF($A$2:A194,"&gt;0"))</f>
        <v>0</v>
      </c>
      <c r="C195" s="52"/>
      <c r="D195" s="53"/>
      <c r="E195" s="53"/>
      <c r="F195" s="53"/>
      <c r="G195" s="53"/>
    </row>
    <row r="196" spans="1:7">
      <c r="A196">
        <f>IFERROR(IF(B196="",0,IF(VALUE(LEFT(B196,1))&gt;3,VLOOKUP(VALUE(B196),PROYECCIONES!B:D,3,FALSE),0)),1 + COUNTIF($A$2:A195,"&gt;0"))</f>
        <v>0</v>
      </c>
      <c r="C196" s="52"/>
      <c r="D196" s="53"/>
      <c r="E196" s="53"/>
      <c r="F196" s="53"/>
      <c r="G196" s="53"/>
    </row>
    <row r="197" spans="1:7">
      <c r="A197">
        <f>IFERROR(IF(B197="",0,IF(VALUE(LEFT(B197,1))&gt;3,VLOOKUP(VALUE(B197),PROYECCIONES!B:D,3,FALSE),0)),1 + COUNTIF($A$2:A196,"&gt;0"))</f>
        <v>0</v>
      </c>
      <c r="C197" s="52"/>
      <c r="D197" s="53"/>
      <c r="E197" s="53"/>
      <c r="F197" s="53"/>
      <c r="G197" s="53"/>
    </row>
    <row r="198" spans="1:7">
      <c r="A198">
        <f>IFERROR(IF(B198="",0,IF(VALUE(LEFT(B198,1))&gt;3,VLOOKUP(VALUE(B198),PROYECCIONES!B:D,3,FALSE),0)),1 + COUNTIF($A$2:A197,"&gt;0"))</f>
        <v>0</v>
      </c>
      <c r="C198" s="52"/>
      <c r="D198" s="53"/>
      <c r="E198" s="53"/>
      <c r="F198" s="53"/>
      <c r="G198" s="53"/>
    </row>
    <row r="199" spans="1:7">
      <c r="A199">
        <f>IFERROR(IF(B199="",0,IF(VALUE(LEFT(B199,1))&gt;3,VLOOKUP(VALUE(B199),PROYECCIONES!B:D,3,FALSE),0)),1 + COUNTIF($A$2:A198,"&gt;0"))</f>
        <v>0</v>
      </c>
      <c r="C199" s="52"/>
      <c r="D199" s="53"/>
      <c r="E199" s="53"/>
      <c r="F199" s="53"/>
      <c r="G199" s="53"/>
    </row>
    <row r="200" spans="1:7">
      <c r="A200">
        <f>IFERROR(IF(B200="",0,IF(VALUE(LEFT(B200,1))&gt;3,VLOOKUP(VALUE(B200),PROYECCIONES!B:D,3,FALSE),0)),1 + COUNTIF($A$2:A199,"&gt;0"))</f>
        <v>0</v>
      </c>
      <c r="C200" s="52"/>
      <c r="D200" s="53"/>
      <c r="E200" s="53"/>
      <c r="F200" s="53"/>
      <c r="G200" s="53"/>
    </row>
    <row r="201" spans="1:7">
      <c r="A201">
        <f>IFERROR(IF(B201="",0,IF(VALUE(LEFT(B201,1))&gt;3,VLOOKUP(VALUE(B201),PROYECCIONES!B:D,3,FALSE),0)),1 + COUNTIF($A$2:A200,"&gt;0"))</f>
        <v>0</v>
      </c>
      <c r="C201" s="52"/>
      <c r="D201" s="53"/>
      <c r="E201" s="53"/>
      <c r="F201" s="53"/>
      <c r="G201" s="53"/>
    </row>
    <row r="202" spans="1:7">
      <c r="A202">
        <f>IFERROR(IF(B202="",0,IF(VALUE(LEFT(B202,1))&gt;3,VLOOKUP(VALUE(B202),PROYECCIONES!B:D,3,FALSE),0)),1 + COUNTIF($A$2:A201,"&gt;0"))</f>
        <v>0</v>
      </c>
      <c r="C202" s="52"/>
      <c r="D202" s="53"/>
      <c r="E202" s="53"/>
      <c r="F202" s="53"/>
      <c r="G202" s="53"/>
    </row>
    <row r="203" spans="1:7">
      <c r="A203">
        <f>IFERROR(IF(B203="",0,IF(VALUE(LEFT(B203,1))&gt;3,VLOOKUP(VALUE(B203),PROYECCIONES!B:D,3,FALSE),0)),1 + COUNTIF($A$2:A202,"&gt;0"))</f>
        <v>0</v>
      </c>
      <c r="C203" s="52"/>
      <c r="D203" s="53"/>
      <c r="E203" s="53"/>
      <c r="F203" s="53"/>
      <c r="G203" s="53"/>
    </row>
    <row r="204" spans="1:7">
      <c r="A204">
        <f>IFERROR(IF(B204="",0,IF(VALUE(LEFT(B204,1))&gt;3,VLOOKUP(VALUE(B204),PROYECCIONES!B:D,3,FALSE),0)),1 + COUNTIF($A$2:A203,"&gt;0"))</f>
        <v>0</v>
      </c>
      <c r="C204" s="52"/>
      <c r="D204" s="53"/>
      <c r="E204" s="53"/>
      <c r="F204" s="53"/>
      <c r="G204" s="53"/>
    </row>
    <row r="205" spans="1:7">
      <c r="A205">
        <f>IFERROR(IF(B205="",0,IF(VALUE(LEFT(B205,1))&gt;3,VLOOKUP(VALUE(B205),PROYECCIONES!B:D,3,FALSE),0)),1 + COUNTIF($A$2:A204,"&gt;0"))</f>
        <v>0</v>
      </c>
      <c r="C205" s="52"/>
      <c r="D205" s="53"/>
      <c r="E205" s="53"/>
      <c r="F205" s="53"/>
      <c r="G205" s="53"/>
    </row>
    <row r="206" spans="1:7">
      <c r="A206">
        <f>IFERROR(IF(B206="",0,IF(VALUE(LEFT(B206,1))&gt;3,VLOOKUP(VALUE(B206),PROYECCIONES!B:D,3,FALSE),0)),1 + COUNTIF($A$2:A205,"&gt;0"))</f>
        <v>0</v>
      </c>
    </row>
    <row r="207" spans="1:7">
      <c r="A207">
        <f>IFERROR(IF(B207="",0,IF(VALUE(LEFT(B207,1))&gt;3,VLOOKUP(VALUE(B207),PROYECCIONES!B:D,3,FALSE),0)),1 + COUNTIF($A$2:A206,"&gt;0"))</f>
        <v>0</v>
      </c>
    </row>
    <row r="208" spans="1:7">
      <c r="A208">
        <f>IFERROR(IF(B208="",0,IF(VALUE(LEFT(B208,1))&gt;3,VLOOKUP(VALUE(B208),PROYECCIONES!B:D,3,FALSE),0)),1 + COUNTIF($A$2:A207,"&gt;0"))</f>
        <v>0</v>
      </c>
    </row>
    <row r="209" spans="1:1">
      <c r="A209">
        <f>IFERROR(IF(B209="",0,IF(VALUE(LEFT(B209,1))&gt;3,VLOOKUP(VALUE(B209),PROYECCIONES!B:D,3,FALSE),0)),1 + COUNTIF($A$2:A208,"&gt;0"))</f>
        <v>0</v>
      </c>
    </row>
    <row r="210" spans="1:1">
      <c r="A210">
        <f>IFERROR(IF(B210="",0,IF(VALUE(LEFT(B210,1))&gt;3,VLOOKUP(VALUE(B210),PROYECCIONES!B:D,3,FALSE),0)),1 + COUNTIF($A$2:A209,"&gt;0"))</f>
        <v>0</v>
      </c>
    </row>
    <row r="211" spans="1:1">
      <c r="A211">
        <f>IFERROR(IF(B211="",0,IF(VALUE(LEFT(B211,1))&gt;3,VLOOKUP(VALUE(B211),PROYECCIONES!B:D,3,FALSE),0)),1 + COUNTIF($A$2:A210,"&gt;0"))</f>
        <v>0</v>
      </c>
    </row>
    <row r="212" spans="1:1">
      <c r="A212">
        <f>IFERROR(IF(B212="",0,IF(VALUE(LEFT(B212,1))&gt;3,VLOOKUP(VALUE(B212),PROYECCIONES!B:D,3,FALSE),0)),1 + COUNTIF($A$2:A211,"&gt;0"))</f>
        <v>0</v>
      </c>
    </row>
    <row r="213" spans="1:1">
      <c r="A213">
        <f>IFERROR(IF(B213="",0,IF(VALUE(LEFT(B213,1))&gt;3,VLOOKUP(VALUE(B213),PROYECCIONES!B:D,3,FALSE),0)),1 + COUNTIF($A$2:A212,"&gt;0"))</f>
        <v>0</v>
      </c>
    </row>
    <row r="214" spans="1:1">
      <c r="A214">
        <f>IFERROR(IF(B214="",0,IF(VALUE(LEFT(B214,1))&gt;3,VLOOKUP(VALUE(B214),PROYECCIONES!B:D,3,FALSE),0)),1 + COUNTIF($A$2:A213,"&gt;0"))</f>
        <v>0</v>
      </c>
    </row>
    <row r="215" spans="1:1">
      <c r="A215">
        <f>IFERROR(IF(B215="",0,IF(VALUE(LEFT(B215,1))&gt;3,VLOOKUP(VALUE(B215),PROYECCIONES!B:D,3,FALSE),0)),1 + COUNTIF($A$2:A214,"&gt;0"))</f>
        <v>0</v>
      </c>
    </row>
    <row r="216" spans="1:1">
      <c r="A216">
        <f>IFERROR(IF(B216="",0,IF(VALUE(LEFT(B216,1))&gt;3,VLOOKUP(VALUE(B216),PROYECCIONES!B:D,3,FALSE),0)),1 + COUNTIF($A$2:A215,"&gt;0"))</f>
        <v>0</v>
      </c>
    </row>
    <row r="217" spans="1:1">
      <c r="A217">
        <f>IFERROR(IF(B217="",0,IF(VALUE(LEFT(B217,1))&gt;3,VLOOKUP(VALUE(B217),PROYECCIONES!B:D,3,FALSE),0)),1 + COUNTIF($A$2:A216,"&gt;0"))</f>
        <v>0</v>
      </c>
    </row>
    <row r="218" spans="1:1">
      <c r="A218">
        <f>IFERROR(IF(B218="",0,IF(VALUE(LEFT(B218,1))&gt;3,VLOOKUP(VALUE(B218),PROYECCIONES!B:D,3,FALSE),0)),1 + COUNTIF($A$2:A217,"&gt;0"))</f>
        <v>0</v>
      </c>
    </row>
    <row r="219" spans="1:1">
      <c r="A219">
        <f>IFERROR(IF(B219="",0,IF(VALUE(LEFT(B219,1))&gt;3,VLOOKUP(VALUE(B219),PROYECCIONES!B:D,3,FALSE),0)),1 + COUNTIF($A$2:A218,"&gt;0"))</f>
        <v>0</v>
      </c>
    </row>
    <row r="220" spans="1:1">
      <c r="A220">
        <f>IFERROR(IF(B220="",0,IF(VALUE(LEFT(B220,1))&gt;3,VLOOKUP(VALUE(B220),PROYECCIONES!B:D,3,FALSE),0)),1 + COUNTIF($A$2:A219,"&gt;0"))</f>
        <v>0</v>
      </c>
    </row>
    <row r="221" spans="1:1">
      <c r="A221">
        <f>IFERROR(IF(B221="",0,IF(VALUE(LEFT(B221,1))&gt;3,VLOOKUP(VALUE(B221),PROYECCIONES!B:D,3,FALSE),0)),1 + COUNTIF($A$2:A220,"&gt;0"))</f>
        <v>0</v>
      </c>
    </row>
    <row r="222" spans="1:1">
      <c r="A222">
        <f>IFERROR(IF(B222="",0,IF(VALUE(LEFT(B222,1))&gt;3,VLOOKUP(VALUE(B222),PROYECCIONES!B:D,3,FALSE),0)),1 + COUNTIF($A$2:A221,"&gt;0"))</f>
        <v>0</v>
      </c>
    </row>
    <row r="223" spans="1:1">
      <c r="A223">
        <f>IFERROR(IF(B223="",0,IF(VALUE(LEFT(B223,1))&gt;3,VLOOKUP(VALUE(B223),PROYECCIONES!B:D,3,FALSE),0)),1 + COUNTIF($A$2:A222,"&gt;0"))</f>
        <v>0</v>
      </c>
    </row>
    <row r="224" spans="1:1">
      <c r="A224">
        <f>IFERROR(IF(B224="",0,IF(VALUE(LEFT(B224,1))&gt;3,VLOOKUP(VALUE(B224),PROYECCIONES!B:D,3,FALSE),0)),1 + COUNTIF($A$2:A223,"&gt;0"))</f>
        <v>0</v>
      </c>
    </row>
    <row r="225" spans="1:1">
      <c r="A225">
        <f>IFERROR(IF(B225="",0,IF(VALUE(LEFT(B225,1))&gt;3,VLOOKUP(VALUE(B225),PROYECCIONES!B:D,3,FALSE),0)),1 + COUNTIF($A$2:A224,"&gt;0"))</f>
        <v>0</v>
      </c>
    </row>
    <row r="226" spans="1:1">
      <c r="A226">
        <f>IFERROR(IF(B226="",0,IF(VALUE(LEFT(B226,1))&gt;3,VLOOKUP(VALUE(B226),PROYECCIONES!B:D,3,FALSE),0)),1 + COUNTIF($A$2:A225,"&gt;0"))</f>
        <v>0</v>
      </c>
    </row>
    <row r="227" spans="1:1">
      <c r="A227">
        <f>IFERROR(IF(B227="",0,IF(VALUE(LEFT(B227,1))&gt;3,VLOOKUP(VALUE(B227),PROYECCIONES!B:D,3,FALSE),0)),1 + COUNTIF($A$2:A226,"&gt;0"))</f>
        <v>0</v>
      </c>
    </row>
    <row r="228" spans="1:1">
      <c r="A228">
        <f>IFERROR(IF(B228="",0,IF(VALUE(LEFT(B228,1))&gt;3,VLOOKUP(VALUE(B228),PROYECCIONES!B:D,3,FALSE),0)),1 + COUNTIF($A$2:A227,"&gt;0"))</f>
        <v>0</v>
      </c>
    </row>
    <row r="229" spans="1:1">
      <c r="A229">
        <f>IFERROR(IF(B229="",0,IF(VALUE(LEFT(B229,1))&gt;3,VLOOKUP(VALUE(B229),PROYECCIONES!B:D,3,FALSE),0)),1 + COUNTIF($A$2:A228,"&gt;0"))</f>
        <v>0</v>
      </c>
    </row>
    <row r="230" spans="1:1">
      <c r="A230">
        <f>IFERROR(IF(B230="",0,IF(VALUE(LEFT(B230,1))&gt;3,VLOOKUP(VALUE(B230),PROYECCIONES!B:D,3,FALSE),0)),1 + COUNTIF($A$2:A229,"&gt;0"))</f>
        <v>0</v>
      </c>
    </row>
    <row r="231" spans="1:1">
      <c r="A231">
        <f>IFERROR(IF(B231="",0,IF(VALUE(LEFT(B231,1))&gt;3,VLOOKUP(VALUE(B231),PROYECCIONES!B:D,3,FALSE),0)),1 + COUNTIF($A$2:A230,"&gt;0"))</f>
        <v>0</v>
      </c>
    </row>
    <row r="232" spans="1:1">
      <c r="A232">
        <f>IFERROR(IF(B232="",0,IF(VALUE(LEFT(B232,1))&gt;3,VLOOKUP(VALUE(B232),PROYECCIONES!B:D,3,FALSE),0)),1 + COUNTIF($A$2:A231,"&gt;0"))</f>
        <v>0</v>
      </c>
    </row>
    <row r="233" spans="1:1">
      <c r="A233">
        <f>IFERROR(IF(B233="",0,IF(VALUE(LEFT(B233,1))&gt;3,VLOOKUP(VALUE(B233),PROYECCIONES!B:D,3,FALSE),0)),1 + COUNTIF($A$2:A232,"&gt;0"))</f>
        <v>0</v>
      </c>
    </row>
    <row r="234" spans="1:1">
      <c r="A234">
        <f>IFERROR(IF(B234="",0,IF(VALUE(LEFT(B234,1))&gt;3,VLOOKUP(VALUE(B234),PROYECCIONES!B:D,3,FALSE),0)),1 + COUNTIF($A$2:A233,"&gt;0"))</f>
        <v>0</v>
      </c>
    </row>
    <row r="235" spans="1:1">
      <c r="A235">
        <f>IFERROR(IF(B235="",0,IF(VALUE(LEFT(B235,1))&gt;3,VLOOKUP(VALUE(B235),PROYECCIONES!B:D,3,FALSE),0)),1 + COUNTIF($A$2:A234,"&gt;0"))</f>
        <v>0</v>
      </c>
    </row>
    <row r="236" spans="1:1">
      <c r="A236">
        <f>IFERROR(IF(B236="",0,IF(VALUE(LEFT(B236,1))&gt;3,VLOOKUP(VALUE(B236),PROYECCIONES!B:D,3,FALSE),0)),1 + COUNTIF($A$2:A235,"&gt;0"))</f>
        <v>0</v>
      </c>
    </row>
    <row r="237" spans="1:1">
      <c r="A237">
        <f>IFERROR(IF(B237="",0,IF(VALUE(LEFT(B237,1))&gt;3,VLOOKUP(VALUE(B237),PROYECCIONES!B:D,3,FALSE),0)),1 + COUNTIF($A$2:A236,"&gt;0"))</f>
        <v>0</v>
      </c>
    </row>
    <row r="238" spans="1:1">
      <c r="A238">
        <f>IFERROR(IF(B238="",0,IF(VALUE(LEFT(B238,1))&gt;3,VLOOKUP(VALUE(B238),PROYECCIONES!B:D,3,FALSE),0)),1 + COUNTIF($A$2:A237,"&gt;0"))</f>
        <v>0</v>
      </c>
    </row>
    <row r="239" spans="1:1">
      <c r="A239">
        <f>IFERROR(IF(B239="",0,IF(VALUE(LEFT(B239,1))&gt;3,VLOOKUP(VALUE(B239),PROYECCIONES!B:D,3,FALSE),0)),1 + COUNTIF($A$2:A238,"&gt;0"))</f>
        <v>0</v>
      </c>
    </row>
    <row r="240" spans="1:1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autoFilter ref="A2:G300" xr:uid="{C4E890B0-0255-4D92-B438-65D95B1C0135}"/>
  <mergeCells count="4">
    <mergeCell ref="D1:D2"/>
    <mergeCell ref="E1:F1"/>
    <mergeCell ref="G1:G2"/>
    <mergeCell ref="B1:C1"/>
  </mergeCells>
  <conditionalFormatting sqref="B206:B1048576">
    <cfRule type="expression" dxfId="1" priority="1">
      <formula>$A206="No Agregada"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6A96-7C95-4E26-AB7F-28B34DAF96AE}">
  <sheetPr codeName="Hoja13"/>
  <dimension ref="A1:M300"/>
  <sheetViews>
    <sheetView topLeftCell="B1" workbookViewId="0">
      <pane ySplit="2" topLeftCell="A3" activePane="bottomLeft" state="frozen"/>
      <selection activeCell="B1" sqref="B1"/>
      <selection pane="bottomLeft" activeCell="N12" sqref="N12"/>
    </sheetView>
  </sheetViews>
  <sheetFormatPr baseColWidth="10" defaultRowHeight="15"/>
  <cols>
    <col min="1" max="1" width="11.42578125" hidden="1" customWidth="1"/>
    <col min="2" max="2" width="11.42578125" style="52"/>
    <col min="3" max="3" width="44.140625" customWidth="1"/>
    <col min="4" max="7" width="12.5703125" style="54" bestFit="1" customWidth="1"/>
    <col min="9" max="13" width="11.42578125" hidden="1" customWidth="1"/>
  </cols>
  <sheetData>
    <row r="1" spans="1:13">
      <c r="B1" s="284"/>
      <c r="C1" s="285"/>
      <c r="D1" s="286"/>
      <c r="E1" s="288"/>
      <c r="F1" s="289"/>
      <c r="G1" s="286"/>
    </row>
    <row r="2" spans="1:13">
      <c r="B2" s="51"/>
      <c r="C2" s="51"/>
      <c r="D2" s="287"/>
      <c r="E2" s="65"/>
      <c r="F2" s="65"/>
      <c r="G2" s="287"/>
    </row>
    <row r="3" spans="1:13">
      <c r="A3">
        <f>IFERROR(IF(B3="",0,IF(VALUE(LEFT(B3,1))&gt;3,VLOOKUP(VALUE(B3),PROYECCIONES!B:D,3,FALSE),0)),1 + COUNTIF($A$2:A2,"&gt;0"))</f>
        <v>0</v>
      </c>
      <c r="C3" s="52"/>
      <c r="D3" s="53"/>
      <c r="E3" s="53"/>
      <c r="F3" s="53"/>
      <c r="G3" s="53"/>
      <c r="I3">
        <f>COUNTIF(A3:A300,"&gt;0")</f>
        <v>0</v>
      </c>
      <c r="J3" t="s">
        <v>3</v>
      </c>
      <c r="K3" t="s">
        <v>223</v>
      </c>
      <c r="L3" t="s">
        <v>224</v>
      </c>
    </row>
    <row r="4" spans="1:13">
      <c r="A4">
        <f>IFERROR(IF(B4="",0,IF(VALUE(LEFT(B4,1))&gt;3,VLOOKUP(VALUE(B4),PROYECCIONES!B:D,3,FALSE),0)),1 + COUNTIF($A$2:A3,"&gt;0"))</f>
        <v>0</v>
      </c>
      <c r="C4" s="52"/>
      <c r="D4" s="53"/>
      <c r="E4" s="53"/>
      <c r="F4" s="53"/>
      <c r="G4" s="53"/>
      <c r="I4" s="123">
        <v>1</v>
      </c>
      <c r="J4" t="str">
        <f>IFERROR(VLOOKUP(I4,'Balance a Dic'!$A$3:$C$300,2,FALSE),"")</f>
        <v/>
      </c>
      <c r="K4" t="str">
        <f>IFERROR(VLOOKUP(I4,'Balance a Dic'!$A$3:$C$300,3,FALSE),"")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</row>
    <row r="5" spans="1:13">
      <c r="A5">
        <f>IFERROR(IF(B5="",0,IF(VALUE(LEFT(B5,1))&gt;3,VLOOKUP(VALUE(B5),PROYECCIONES!B:D,3,FALSE),0)),1 + COUNTIF($A$2:A4,"&gt;0"))</f>
        <v>0</v>
      </c>
      <c r="C5" s="52"/>
      <c r="D5" s="53"/>
      <c r="E5" s="53"/>
      <c r="F5" s="53"/>
      <c r="G5" s="53"/>
      <c r="I5" s="123">
        <v>2</v>
      </c>
      <c r="J5" t="str">
        <f>IFERROR(VLOOKUP(I5,'Balance a Dic'!$A$3:$C$300,2,FALSE),"")</f>
        <v/>
      </c>
      <c r="K5" t="str">
        <f>IFERROR(VLOOKUP(I5,'Balance a Dic'!$A$3:$C$300,3,FALSE),"")</f>
        <v/>
      </c>
      <c r="L5" t="str">
        <f>IFERROR(IF(AND(VALUE(LEFT(J5,1))&gt;=6,VALUE(LEFT(J5,1))&lt;=7),_xlfn.XMATCH(VALUE(J5),PROYECCIONES!$B$1:$B$38,-1,1),_xlfn.XMATCH(VALUE(J5),PROYECCIONES!$B$1:$B$333,-1,1)),"")</f>
        <v/>
      </c>
      <c r="M5">
        <v>0</v>
      </c>
    </row>
    <row r="6" spans="1:13">
      <c r="A6">
        <f>IFERROR(IF(B6="",0,IF(VALUE(LEFT(B6,1))&gt;3,VLOOKUP(VALUE(B6),PROYECCIONES!B:D,3,FALSE),0)),1 + COUNTIF($A$2:A5,"&gt;0"))</f>
        <v>0</v>
      </c>
      <c r="C6" s="52"/>
      <c r="D6" s="53"/>
      <c r="E6" s="53"/>
      <c r="F6" s="53"/>
      <c r="G6" s="53"/>
      <c r="I6" s="123">
        <v>3</v>
      </c>
      <c r="J6" t="str">
        <f>IFERROR(VLOOKUP(I6,'Balance a Dic'!$A$3:$C$300,2,FALSE),"")</f>
        <v/>
      </c>
      <c r="K6" t="str">
        <f>IFERROR(VLOOKUP(I6,'Balance a Dic'!$A$3:$C$300,3,FALSE),"")</f>
        <v/>
      </c>
      <c r="L6" t="str">
        <f>IFERROR(IF(AND(VALUE(LEFT(J6,1))&gt;=6,VALUE(LEFT(J6,1))&lt;=7),_xlfn.XMATCH(VALUE(J6),PROYECCIONES!$B$1:$B$38,-1,1),_xlfn.XMATCH(VALUE(J6),PROYECCIONES!$B$1:$B$333,-1,1)),"")</f>
        <v/>
      </c>
    </row>
    <row r="7" spans="1:13">
      <c r="A7">
        <f>IFERROR(IF(B7="",0,IF(VALUE(LEFT(B7,1))&gt;3,VLOOKUP(VALUE(B7),PROYECCIONES!B:D,3,FALSE),0)),1 + COUNTIF($A$2:A6,"&gt;0"))</f>
        <v>0</v>
      </c>
      <c r="C7" s="52"/>
      <c r="D7" s="53"/>
      <c r="E7" s="53"/>
      <c r="F7" s="53"/>
      <c r="G7" s="53"/>
      <c r="I7" s="123">
        <v>4</v>
      </c>
      <c r="J7" t="str">
        <f>IFERROR(VLOOKUP(I7,'Balance a Dic'!$A$3:$C$300,2,FALSE),"")</f>
        <v/>
      </c>
      <c r="K7" t="str">
        <f>IFERROR(VLOOKUP(I7,'Balance a Dic'!$A$3:$C$300,3,FALSE),"")</f>
        <v/>
      </c>
      <c r="L7" t="str">
        <f>IFERROR(IF(AND(VALUE(LEFT(J7,1))&gt;=6,VALUE(LEFT(J7,1))&lt;=7),_xlfn.XMATCH(VALUE(J7),PROYECCIONES!$B$1:$B$38,-1,1),_xlfn.XMATCH(VALUE(J7),PROYECCIONES!$B$1:$B$333,-1,1)),"")</f>
        <v/>
      </c>
    </row>
    <row r="8" spans="1:13">
      <c r="A8">
        <f>IFERROR(IF(B8="",0,IF(VALUE(LEFT(B8,1))&gt;3,VLOOKUP(VALUE(B8),PROYECCIONES!B:D,3,FALSE),0)),1 + COUNTIF($A$2:A7,"&gt;0"))</f>
        <v>0</v>
      </c>
      <c r="C8" s="52"/>
      <c r="D8" s="53"/>
      <c r="E8" s="53"/>
      <c r="F8" s="53"/>
      <c r="G8" s="53"/>
      <c r="I8" s="123">
        <v>5</v>
      </c>
      <c r="J8" t="str">
        <f>IFERROR(VLOOKUP(I8,'Balance a Dic'!$A$3:$C$300,2,FALSE),"")</f>
        <v/>
      </c>
      <c r="K8" t="str">
        <f>IFERROR(VLOOKUP(I8,'Balance a Dic'!$A$3:$C$300,3,FALSE),"")</f>
        <v/>
      </c>
      <c r="L8" t="str">
        <f>IFERROR(IF(AND(VALUE(LEFT(J8,1))&gt;=6,VALUE(LEFT(J8,1))&lt;=7),_xlfn.XMATCH(VALUE(J8),PROYECCIONES!$B$1:$B$38,-1,1),_xlfn.XMATCH(VALUE(J8),PROYECCIONES!$B$1:$B$333,-1,1)),"")</f>
        <v/>
      </c>
    </row>
    <row r="9" spans="1:13">
      <c r="A9">
        <f>IFERROR(IF(B9="",0,IF(VALUE(LEFT(B9,1))&gt;3,VLOOKUP(VALUE(B9),PROYECCIONES!B:D,3,FALSE),0)),1 + COUNTIF($A$2:A8,"&gt;0"))</f>
        <v>0</v>
      </c>
      <c r="C9" s="52"/>
      <c r="D9" s="53"/>
      <c r="E9" s="53"/>
      <c r="F9" s="53"/>
      <c r="G9" s="53"/>
      <c r="I9" s="123">
        <v>6</v>
      </c>
      <c r="J9" t="str">
        <f>IFERROR(VLOOKUP(I9,'Balance a Dic'!$A$3:$C$300,2,FALSE),"")</f>
        <v/>
      </c>
      <c r="K9" t="str">
        <f>IFERROR(VLOOKUP(I9,'Balance a Dic'!$A$3:$C$300,3,FALSE),"")</f>
        <v/>
      </c>
      <c r="L9" t="str">
        <f>IFERROR(IF(AND(VALUE(LEFT(J9,1))&gt;=6,VALUE(LEFT(J9,1))&lt;=7),_xlfn.XMATCH(VALUE(J9),PROYECCIONES!$B$1:$B$38,-1,1),_xlfn.XMATCH(VALUE(J9),PROYECCIONES!$B$1:$B$333,-1,1)),"")</f>
        <v/>
      </c>
    </row>
    <row r="10" spans="1:13">
      <c r="A10">
        <f>IFERROR(IF(B10="",0,IF(VALUE(LEFT(B10,1))&gt;3,VLOOKUP(VALUE(B10),PROYECCIONES!B:D,3,FALSE),0)),1 + COUNTIF($A$2:A9,"&gt;0"))</f>
        <v>0</v>
      </c>
      <c r="C10" s="52"/>
      <c r="D10" s="53"/>
      <c r="E10" s="53"/>
      <c r="F10" s="53"/>
      <c r="G10" s="53"/>
      <c r="I10" s="123">
        <v>7</v>
      </c>
      <c r="J10" t="str">
        <f>IFERROR(VLOOKUP(I10,'Balance a Dic'!$A$3:$C$300,2,FALSE),"")</f>
        <v/>
      </c>
      <c r="K10" t="str">
        <f>IFERROR(VLOOKUP(I10,'Balance a Dic'!$A$3:$C$300,3,FALSE),"")</f>
        <v/>
      </c>
      <c r="L10" t="str">
        <f>IFERROR(IF(AND(VALUE(LEFT(J10,1))&gt;=6,VALUE(LEFT(J10,1))&lt;=7),_xlfn.XMATCH(VALUE(J10),PROYECCIONES!$B$1:$B$38,-1,1),_xlfn.XMATCH(VALUE(J10),PROYECCIONES!$B$1:$B$333,-1,1)),"")</f>
        <v/>
      </c>
    </row>
    <row r="11" spans="1:13">
      <c r="A11">
        <f>IFERROR(IF(B11="",0,IF(VALUE(LEFT(B11,1))&gt;3,VLOOKUP(VALUE(B11),PROYECCIONES!B:D,3,FALSE),0)),1 + COUNTIF($A$2:A10,"&gt;0"))</f>
        <v>0</v>
      </c>
      <c r="C11" s="52"/>
      <c r="D11" s="53"/>
      <c r="E11" s="53"/>
      <c r="F11" s="53"/>
      <c r="G11" s="53"/>
      <c r="I11" s="123">
        <v>8</v>
      </c>
      <c r="J11" t="str">
        <f>IFERROR(VLOOKUP(I11,'Balance a Dic'!$A$3:$C$300,2,FALSE),"")</f>
        <v/>
      </c>
      <c r="K11" t="str">
        <f>IFERROR(VLOOKUP(I11,'Balance a Dic'!$A$3:$C$300,3,FALSE),"")</f>
        <v/>
      </c>
      <c r="L11" t="str">
        <f>IFERROR(IF(AND(VALUE(LEFT(J11,1))&gt;=6,VALUE(LEFT(J11,1))&lt;=7),_xlfn.XMATCH(VALUE(J11),PROYECCIONES!$B$1:$B$38,-1,1),_xlfn.XMATCH(VALUE(J11),PROYECCIONES!$B$1:$B$333,-1,1)),"")</f>
        <v/>
      </c>
    </row>
    <row r="12" spans="1:13">
      <c r="A12">
        <f>IFERROR(IF(B12="",0,IF(VALUE(LEFT(B12,1))&gt;3,VLOOKUP(VALUE(B12),PROYECCIONES!B:D,3,FALSE),0)),1 + COUNTIF($A$2:A11,"&gt;0"))</f>
        <v>0</v>
      </c>
      <c r="C12" s="52"/>
      <c r="D12" s="53"/>
      <c r="E12" s="53"/>
      <c r="F12" s="53"/>
      <c r="G12" s="53"/>
      <c r="I12" s="123">
        <v>9</v>
      </c>
      <c r="J12" t="str">
        <f>IFERROR(VLOOKUP(I12,'Balance a Dic'!$A$3:$C$300,2,FALSE),"")</f>
        <v/>
      </c>
      <c r="K12" t="str">
        <f>IFERROR(VLOOKUP(I12,'Balance a Dic'!$A$3:$C$300,3,FALSE),"")</f>
        <v/>
      </c>
      <c r="L12" t="str">
        <f>IFERROR(IF(AND(VALUE(LEFT(J12,1))&gt;=6,VALUE(LEFT(J12,1))&lt;=7),_xlfn.XMATCH(VALUE(J12),PROYECCIONES!$B$1:$B$38,-1,1),_xlfn.XMATCH(VALUE(J12),PROYECCIONES!$B$1:$B$333,-1,1)),"")</f>
        <v/>
      </c>
    </row>
    <row r="13" spans="1:13">
      <c r="A13">
        <f>IFERROR(IF(B13="",0,IF(VALUE(LEFT(B13,1))&gt;3,VLOOKUP(VALUE(B13),PROYECCIONES!B:D,3,FALSE),0)),1 + COUNTIF($A$2:A12,"&gt;0"))</f>
        <v>0</v>
      </c>
      <c r="C13" s="52"/>
      <c r="D13" s="53"/>
      <c r="E13" s="53"/>
      <c r="F13" s="53"/>
      <c r="G13" s="53"/>
      <c r="I13" s="123">
        <v>10</v>
      </c>
      <c r="J13" t="str">
        <f>IFERROR(VLOOKUP(I13,'Balance a Dic'!$A$3:$C$300,2,FALSE),"")</f>
        <v/>
      </c>
      <c r="K13" t="str">
        <f>IFERROR(VLOOKUP(I13,'Balance a Dic'!$A$3:$C$300,3,FALSE),"")</f>
        <v/>
      </c>
      <c r="L13" t="str">
        <f>IFERROR(IF(AND(VALUE(LEFT(J13,1))&gt;=6,VALUE(LEFT(J13,1))&lt;=7),_xlfn.XMATCH(VALUE(J13),PROYECCIONES!$B$1:$B$38,-1,1),_xlfn.XMATCH(VALUE(J13),PROYECCIONES!$B$1:$B$333,-1,1)),"")</f>
        <v/>
      </c>
    </row>
    <row r="14" spans="1:13">
      <c r="A14">
        <f>IFERROR(IF(B14="",0,IF(VALUE(LEFT(B14,1))&gt;3,VLOOKUP(VALUE(B14),PROYECCIONES!B:D,3,FALSE),0)),1 + COUNTIF($A$2:A13,"&gt;0"))</f>
        <v>0</v>
      </c>
      <c r="C14" s="52"/>
      <c r="D14" s="53"/>
      <c r="E14" s="53"/>
      <c r="F14" s="53"/>
      <c r="G14" s="53"/>
      <c r="I14" s="123">
        <v>11</v>
      </c>
      <c r="J14" t="str">
        <f>IFERROR(VLOOKUP(I14,'Balance a Dic'!$A$3:$C$300,2,FALSE),"")</f>
        <v/>
      </c>
      <c r="K14" t="str">
        <f>IFERROR(VLOOKUP(I14,'Balance a Dic'!$A$3:$C$300,3,FALSE),"")</f>
        <v/>
      </c>
      <c r="L14" t="str">
        <f>IFERROR(IF(AND(VALUE(LEFT(J14,1))&gt;=6,VALUE(LEFT(J14,1))&lt;=7),_xlfn.XMATCH(VALUE(J14),PROYECCIONES!$B$1:$B$38,-1,1),_xlfn.XMATCH(VALUE(J14),PROYECCIONES!$B$1:$B$333,-1,1)),"")</f>
        <v/>
      </c>
    </row>
    <row r="15" spans="1:13">
      <c r="A15">
        <f>IFERROR(IF(B15="",0,IF(VALUE(LEFT(B15,1))&gt;3,VLOOKUP(VALUE(B15),PROYECCIONES!B:D,3,FALSE),0)),1 + COUNTIF($A$2:A14,"&gt;0"))</f>
        <v>0</v>
      </c>
      <c r="C15" s="52"/>
      <c r="D15" s="53"/>
      <c r="E15" s="53"/>
      <c r="F15" s="53"/>
      <c r="G15" s="53"/>
      <c r="I15" s="123">
        <v>12</v>
      </c>
      <c r="J15" t="str">
        <f>IFERROR(VLOOKUP(I15,'Balance a Dic'!$A$3:$C$300,2,FALSE),"")</f>
        <v/>
      </c>
      <c r="K15" t="str">
        <f>IFERROR(VLOOKUP(I15,'Balance a Dic'!$A$3:$C$300,3,FALSE),"")</f>
        <v/>
      </c>
      <c r="L15" t="str">
        <f>IFERROR(IF(AND(VALUE(LEFT(J15,1))&gt;=6,VALUE(LEFT(J15,1))&lt;=7),_xlfn.XMATCH(VALUE(J15),PROYECCIONES!$B$1:$B$38,-1,1),_xlfn.XMATCH(VALUE(J15),PROYECCIONES!$B$1:$B$333,-1,1)),"")</f>
        <v/>
      </c>
    </row>
    <row r="16" spans="1:13">
      <c r="A16">
        <f>IFERROR(IF(B16="",0,IF(VALUE(LEFT(B16,1))&gt;3,VLOOKUP(VALUE(B16),PROYECCIONES!B:D,3,FALSE),0)),1 + COUNTIF($A$2:A15,"&gt;0"))</f>
        <v>0</v>
      </c>
      <c r="C16" s="52"/>
      <c r="D16" s="53"/>
      <c r="E16" s="53"/>
      <c r="F16" s="53"/>
      <c r="G16" s="53"/>
      <c r="I16" s="123">
        <v>13</v>
      </c>
      <c r="J16" t="str">
        <f>IFERROR(VLOOKUP(I16,'Balance a Dic'!$A$3:$C$300,2,FALSE),"")</f>
        <v/>
      </c>
      <c r="K16" t="str">
        <f>IFERROR(VLOOKUP(I16,'Balance a Dic'!$A$3:$C$300,3,FALSE),"")</f>
        <v/>
      </c>
      <c r="L16" t="str">
        <f>IFERROR(IF(AND(VALUE(LEFT(J16,1))&gt;=6,VALUE(LEFT(J16,1))&lt;=7),_xlfn.XMATCH(VALUE(J16),PROYECCIONES!$B$1:$B$38,-1,1),_xlfn.XMATCH(VALUE(J16),PROYECCIONES!$B$1:$B$333,-1,1)),"")</f>
        <v/>
      </c>
    </row>
    <row r="17" spans="1:12">
      <c r="A17">
        <f>IFERROR(IF(B17="",0,IF(VALUE(LEFT(B17,1))&gt;3,VLOOKUP(VALUE(B17),PROYECCIONES!B:D,3,FALSE),0)),1 + COUNTIF($A$2:A16,"&gt;0"))</f>
        <v>0</v>
      </c>
      <c r="C17" s="52"/>
      <c r="D17" s="53"/>
      <c r="E17" s="53"/>
      <c r="F17" s="53"/>
      <c r="G17" s="53"/>
      <c r="I17" s="123">
        <v>14</v>
      </c>
      <c r="J17" t="str">
        <f>IFERROR(VLOOKUP(I17,'Balance a Dic'!$A$3:$C$300,2,FALSE),"")</f>
        <v/>
      </c>
      <c r="K17" t="str">
        <f>IFERROR(VLOOKUP(I17,'Balance a Dic'!$A$3:$C$300,3,FALSE),"")</f>
        <v/>
      </c>
      <c r="L17" t="str">
        <f>IFERROR(IF(AND(VALUE(LEFT(J17,1))&gt;=6,VALUE(LEFT(J17,1))&lt;=7),_xlfn.XMATCH(VALUE(J17),PROYECCIONES!$B$1:$B$38,-1,1),_xlfn.XMATCH(VALUE(J17),PROYECCIONES!$B$1:$B$333,-1,1)),"")</f>
        <v/>
      </c>
    </row>
    <row r="18" spans="1:12">
      <c r="A18">
        <f>IFERROR(IF(B18="",0,IF(VALUE(LEFT(B18,1))&gt;3,VLOOKUP(VALUE(B18),PROYECCIONES!B:D,3,FALSE),0)),1 + COUNTIF($A$2:A17,"&gt;0"))</f>
        <v>0</v>
      </c>
      <c r="C18" s="52"/>
      <c r="D18" s="53"/>
      <c r="E18" s="53"/>
      <c r="F18" s="53"/>
      <c r="G18" s="53"/>
      <c r="I18" s="123">
        <v>15</v>
      </c>
      <c r="J18" t="str">
        <f>IFERROR(VLOOKUP(I18,'Balance a Dic'!$A$3:$C$300,2,FALSE),"")</f>
        <v/>
      </c>
      <c r="K18" t="str">
        <f>IFERROR(VLOOKUP(I18,'Balance a Dic'!$A$3:$C$300,3,FALSE),"")</f>
        <v/>
      </c>
      <c r="L18" t="str">
        <f>IFERROR(IF(AND(VALUE(LEFT(J18,1))&gt;=6,VALUE(LEFT(J18,1))&lt;=7),_xlfn.XMATCH(VALUE(J18),PROYECCIONES!$B$1:$B$38,-1,1),_xlfn.XMATCH(VALUE(J18),PROYECCIONES!$B$1:$B$333,-1,1)),"")</f>
        <v/>
      </c>
    </row>
    <row r="19" spans="1:12">
      <c r="A19">
        <f>IFERROR(IF(B19="",0,IF(VALUE(LEFT(B19,1))&gt;3,VLOOKUP(VALUE(B19),PROYECCIONES!B:D,3,FALSE),0)),1 + COUNTIF($A$2:A18,"&gt;0"))</f>
        <v>0</v>
      </c>
      <c r="C19" s="52"/>
      <c r="D19" s="53"/>
      <c r="E19" s="53"/>
      <c r="F19" s="53"/>
      <c r="G19" s="53"/>
    </row>
    <row r="20" spans="1:12">
      <c r="A20">
        <f>IFERROR(IF(B20="",0,IF(VALUE(LEFT(B20,1))&gt;3,VLOOKUP(VALUE(B20),PROYECCIONES!B:D,3,FALSE),0)),1 + COUNTIF($A$2:A19,"&gt;0"))</f>
        <v>0</v>
      </c>
      <c r="C20" s="52"/>
      <c r="D20" s="53"/>
      <c r="E20" s="53"/>
      <c r="F20" s="53"/>
      <c r="G20" s="53"/>
    </row>
    <row r="21" spans="1:12">
      <c r="A21">
        <f>IFERROR(IF(B21="",0,IF(VALUE(LEFT(B21,1))&gt;3,VLOOKUP(VALUE(B21),PROYECCIONES!B:D,3,FALSE),0)),1 + COUNTIF($A$2:A20,"&gt;0"))</f>
        <v>0</v>
      </c>
      <c r="C21" s="52"/>
      <c r="D21" s="53"/>
      <c r="E21" s="53"/>
      <c r="F21" s="53"/>
      <c r="G21" s="53"/>
    </row>
    <row r="22" spans="1:12">
      <c r="A22">
        <f>IFERROR(IF(B22="",0,IF(VALUE(LEFT(B22,1))&gt;3,VLOOKUP(VALUE(B22),PROYECCIONES!B:D,3,FALSE),0)),1 + COUNTIF($A$2:A21,"&gt;0"))</f>
        <v>0</v>
      </c>
      <c r="C22" s="52"/>
      <c r="D22" s="53"/>
      <c r="E22" s="53"/>
      <c r="F22" s="53"/>
      <c r="G22" s="53"/>
    </row>
    <row r="23" spans="1:12">
      <c r="A23">
        <f>IFERROR(IF(B23="",0,IF(VALUE(LEFT(B23,1))&gt;3,VLOOKUP(VALUE(B23),PROYECCIONES!B:D,3,FALSE),0)),1 + COUNTIF($A$2:A22,"&gt;0"))</f>
        <v>0</v>
      </c>
      <c r="C23" s="52"/>
      <c r="D23" s="53"/>
      <c r="E23" s="53"/>
      <c r="F23" s="53"/>
      <c r="G23" s="53"/>
    </row>
    <row r="24" spans="1:12">
      <c r="A24">
        <f>IFERROR(IF(B24="",0,IF(VALUE(LEFT(B24,1))&gt;3,VLOOKUP(VALUE(B24),PROYECCIONES!B:D,3,FALSE),0)),1 + COUNTIF($A$2:A23,"&gt;0"))</f>
        <v>0</v>
      </c>
      <c r="C24" s="52"/>
      <c r="D24" s="53"/>
      <c r="E24" s="53"/>
      <c r="F24" s="53"/>
      <c r="G24" s="53"/>
    </row>
    <row r="25" spans="1:12">
      <c r="A25">
        <f>IFERROR(IF(B25="",0,IF(VALUE(LEFT(B25,1))&gt;3,VLOOKUP(VALUE(B25),PROYECCIONES!B:D,3,FALSE),0)),1 + COUNTIF($A$2:A24,"&gt;0"))</f>
        <v>0</v>
      </c>
      <c r="C25" s="52"/>
      <c r="D25" s="53"/>
      <c r="E25" s="53"/>
      <c r="F25" s="53"/>
      <c r="G25" s="53"/>
    </row>
    <row r="26" spans="1:12">
      <c r="A26">
        <f>IFERROR(IF(B26="",0,IF(VALUE(LEFT(B26,1))&gt;3,VLOOKUP(VALUE(B26),PROYECCIONES!B:D,3,FALSE),0)),1 + COUNTIF($A$2:A25,"&gt;0"))</f>
        <v>0</v>
      </c>
      <c r="C26" s="52"/>
      <c r="D26" s="53"/>
      <c r="E26" s="53"/>
      <c r="F26" s="53"/>
      <c r="G26" s="53"/>
    </row>
    <row r="27" spans="1:12">
      <c r="A27">
        <f>IFERROR(IF(B27="",0,IF(VALUE(LEFT(B27,1))&gt;3,VLOOKUP(VALUE(B27),PROYECCIONES!B:D,3,FALSE),0)),1 + COUNTIF($A$2:A26,"&gt;0"))</f>
        <v>0</v>
      </c>
      <c r="C27" s="52"/>
      <c r="D27" s="53"/>
      <c r="E27" s="53"/>
      <c r="F27" s="53"/>
      <c r="G27" s="53"/>
    </row>
    <row r="28" spans="1:12">
      <c r="A28">
        <f>IFERROR(IF(B28="",0,IF(VALUE(LEFT(B28,1))&gt;3,VLOOKUP(VALUE(B28),PROYECCIONES!B:D,3,FALSE),0)),1 + COUNTIF($A$2:A27,"&gt;0"))</f>
        <v>0</v>
      </c>
      <c r="C28" s="52"/>
      <c r="D28" s="53"/>
      <c r="E28" s="53"/>
      <c r="F28" s="53"/>
      <c r="G28" s="53"/>
    </row>
    <row r="29" spans="1:12">
      <c r="A29">
        <f>IFERROR(IF(B29="",0,IF(VALUE(LEFT(B29,1))&gt;3,VLOOKUP(VALUE(B29),PROYECCIONES!B:D,3,FALSE),0)),1 + COUNTIF($A$2:A28,"&gt;0"))</f>
        <v>0</v>
      </c>
      <c r="C29" s="52"/>
      <c r="D29" s="53"/>
      <c r="E29" s="53"/>
      <c r="F29" s="53"/>
      <c r="G29" s="53"/>
    </row>
    <row r="30" spans="1:12">
      <c r="A30">
        <f>IFERROR(IF(B30="",0,IF(VALUE(LEFT(B30,1))&gt;3,VLOOKUP(VALUE(B30),PROYECCIONES!B:D,3,FALSE),0)),1 + COUNTIF($A$2:A29,"&gt;0"))</f>
        <v>0</v>
      </c>
      <c r="C30" s="52"/>
      <c r="D30" s="53"/>
      <c r="E30" s="53"/>
      <c r="F30" s="53"/>
      <c r="G30" s="53"/>
    </row>
    <row r="31" spans="1:12">
      <c r="A31">
        <f>IFERROR(IF(B31="",0,IF(VALUE(LEFT(B31,1))&gt;3,VLOOKUP(VALUE(B31),PROYECCIONES!B:D,3,FALSE),0)),1 + COUNTIF($A$2:A30,"&gt;0"))</f>
        <v>0</v>
      </c>
      <c r="C31" s="52"/>
      <c r="D31" s="53"/>
      <c r="E31" s="53"/>
      <c r="F31" s="53"/>
      <c r="G31" s="53"/>
    </row>
    <row r="32" spans="1:12">
      <c r="A32">
        <f>IFERROR(IF(B32="",0,IF(VALUE(LEFT(B32,1))&gt;3,VLOOKUP(VALUE(B32),PROYECCIONES!B:D,3,FALSE),0)),1 + COUNTIF($A$2:A31,"&gt;0"))</f>
        <v>0</v>
      </c>
      <c r="C32" s="52"/>
      <c r="D32" s="53"/>
      <c r="E32" s="53"/>
      <c r="F32" s="53"/>
      <c r="G32" s="53"/>
    </row>
    <row r="33" spans="1:7">
      <c r="A33">
        <f>IFERROR(IF(B33="",0,IF(VALUE(LEFT(B33,1))&gt;3,VLOOKUP(VALUE(B33),PROYECCIONES!B:D,3,FALSE),0)),1 + COUNTIF($A$2:A32,"&gt;0"))</f>
        <v>0</v>
      </c>
      <c r="C33" s="52"/>
      <c r="D33" s="53"/>
      <c r="E33" s="53"/>
      <c r="F33" s="53"/>
      <c r="G33" s="53"/>
    </row>
    <row r="34" spans="1:7">
      <c r="A34">
        <f>IFERROR(IF(B34="",0,IF(VALUE(LEFT(B34,1))&gt;3,VLOOKUP(VALUE(B34),PROYECCIONES!B:D,3,FALSE),0)),1 + COUNTIF($A$2:A33,"&gt;0"))</f>
        <v>0</v>
      </c>
      <c r="C34" s="52"/>
      <c r="D34" s="53"/>
      <c r="E34" s="53"/>
      <c r="F34" s="53"/>
      <c r="G34" s="53"/>
    </row>
    <row r="35" spans="1:7">
      <c r="A35">
        <f>IFERROR(IF(B35="",0,IF(VALUE(LEFT(B35,1))&gt;3,VLOOKUP(VALUE(B35),PROYECCIONES!B:D,3,FALSE),0)),1 + COUNTIF($A$2:A34,"&gt;0"))</f>
        <v>0</v>
      </c>
      <c r="C35" s="52"/>
      <c r="D35" s="53"/>
      <c r="E35" s="53"/>
      <c r="F35" s="53"/>
      <c r="G35" s="53"/>
    </row>
    <row r="36" spans="1:7">
      <c r="A36">
        <f>IFERROR(IF(B36="",0,IF(VALUE(LEFT(B36,1))&gt;3,VLOOKUP(VALUE(B36),PROYECCIONES!B:D,3,FALSE),0)),1 + COUNTIF($A$2:A35,"&gt;0"))</f>
        <v>0</v>
      </c>
      <c r="C36" s="52"/>
      <c r="D36" s="53"/>
      <c r="E36" s="53"/>
      <c r="F36" s="53"/>
      <c r="G36" s="53"/>
    </row>
    <row r="37" spans="1:7">
      <c r="A37">
        <f>IFERROR(IF(B37="",0,IF(VALUE(LEFT(B37,1))&gt;3,VLOOKUP(VALUE(B37),PROYECCIONES!B:D,3,FALSE),0)),1 + COUNTIF($A$2:A36,"&gt;0"))</f>
        <v>0</v>
      </c>
      <c r="C37" s="52"/>
      <c r="D37" s="53"/>
      <c r="E37" s="53"/>
      <c r="F37" s="53"/>
      <c r="G37" s="53"/>
    </row>
    <row r="38" spans="1:7">
      <c r="A38">
        <f>IFERROR(IF(B38="",0,IF(VALUE(LEFT(B38,1))&gt;3,VLOOKUP(VALUE(B38),PROYECCIONES!B:D,3,FALSE),0)),1 + COUNTIF($A$2:A37,"&gt;0"))</f>
        <v>0</v>
      </c>
      <c r="C38" s="52"/>
      <c r="D38" s="53"/>
      <c r="E38" s="53"/>
      <c r="F38" s="53"/>
      <c r="G38" s="53"/>
    </row>
    <row r="39" spans="1:7">
      <c r="A39">
        <f>IFERROR(IF(B39="",0,IF(VALUE(LEFT(B39,1))&gt;3,VLOOKUP(VALUE(B39),PROYECCIONES!B:D,3,FALSE),0)),1 + COUNTIF($A$2:A38,"&gt;0"))</f>
        <v>0</v>
      </c>
      <c r="C39" s="52"/>
      <c r="D39" s="53"/>
      <c r="E39" s="53"/>
      <c r="F39" s="53"/>
      <c r="G39" s="53"/>
    </row>
    <row r="40" spans="1:7">
      <c r="A40">
        <f>IFERROR(IF(B40="",0,IF(VALUE(LEFT(B40,1))&gt;3,VLOOKUP(VALUE(B40),PROYECCIONES!B:D,3,FALSE),0)),1 + COUNTIF($A$2:A39,"&gt;0"))</f>
        <v>0</v>
      </c>
      <c r="C40" s="52"/>
      <c r="D40" s="53"/>
      <c r="E40" s="53"/>
      <c r="F40" s="53"/>
      <c r="G40" s="53"/>
    </row>
    <row r="41" spans="1:7">
      <c r="A41">
        <f>IFERROR(IF(B41="",0,IF(VALUE(LEFT(B41,1))&gt;3,VLOOKUP(VALUE(B41),PROYECCIONES!B:D,3,FALSE),0)),1 + COUNTIF($A$2:A40,"&gt;0"))</f>
        <v>0</v>
      </c>
      <c r="C41" s="52"/>
      <c r="D41" s="53"/>
      <c r="E41" s="53"/>
      <c r="F41" s="53"/>
      <c r="G41" s="53"/>
    </row>
    <row r="42" spans="1:7">
      <c r="A42">
        <f>IFERROR(IF(B42="",0,IF(VALUE(LEFT(B42,1))&gt;3,VLOOKUP(VALUE(B42),PROYECCIONES!B:D,3,FALSE),0)),1 + COUNTIF($A$2:A41,"&gt;0"))</f>
        <v>0</v>
      </c>
      <c r="C42" s="52"/>
      <c r="D42" s="53"/>
      <c r="E42" s="53"/>
      <c r="F42" s="53"/>
      <c r="G42" s="53"/>
    </row>
    <row r="43" spans="1:7">
      <c r="A43">
        <f>IFERROR(IF(B43="",0,IF(VALUE(LEFT(B43,1))&gt;3,VLOOKUP(VALUE(B43),PROYECCIONES!B:D,3,FALSE),0)),1 + COUNTIF($A$2:A42,"&gt;0"))</f>
        <v>0</v>
      </c>
      <c r="C43" s="52"/>
      <c r="D43" s="53"/>
      <c r="E43" s="53"/>
      <c r="F43" s="53"/>
      <c r="G43" s="53"/>
    </row>
    <row r="44" spans="1:7">
      <c r="A44">
        <f>IFERROR(IF(B44="",0,IF(VALUE(LEFT(B44,1))&gt;3,VLOOKUP(VALUE(B44),PROYECCIONES!B:D,3,FALSE),0)),1 + COUNTIF($A$2:A43,"&gt;0"))</f>
        <v>0</v>
      </c>
      <c r="C44" s="52"/>
      <c r="D44" s="53"/>
      <c r="E44" s="53"/>
      <c r="F44" s="53"/>
      <c r="G44" s="53"/>
    </row>
    <row r="45" spans="1:7">
      <c r="A45">
        <f>IFERROR(IF(B45="",0,IF(VALUE(LEFT(B45,1))&gt;3,VLOOKUP(VALUE(B45),PROYECCIONES!B:D,3,FALSE),0)),1 + COUNTIF($A$2:A44,"&gt;0"))</f>
        <v>0</v>
      </c>
      <c r="C45" s="52"/>
      <c r="D45" s="53"/>
      <c r="E45" s="53"/>
      <c r="F45" s="53"/>
      <c r="G45" s="53"/>
    </row>
    <row r="46" spans="1:7">
      <c r="A46">
        <f>IFERROR(IF(B46="",0,IF(VALUE(LEFT(B46,1))&gt;3,VLOOKUP(VALUE(B46),PROYECCIONES!B:D,3,FALSE),0)),1 + COUNTIF($A$2:A45,"&gt;0"))</f>
        <v>0</v>
      </c>
      <c r="C46" s="52"/>
      <c r="D46" s="53"/>
      <c r="E46" s="53"/>
      <c r="F46" s="53"/>
      <c r="G46" s="53"/>
    </row>
    <row r="47" spans="1:7">
      <c r="A47">
        <f>IFERROR(IF(B47="",0,IF(VALUE(LEFT(B47,1))&gt;3,VLOOKUP(VALUE(B47),PROYECCIONES!B:D,3,FALSE),0)),1 + COUNTIF($A$2:A46,"&gt;0"))</f>
        <v>0</v>
      </c>
      <c r="C47" s="52"/>
      <c r="D47" s="53"/>
      <c r="E47" s="53"/>
      <c r="F47" s="53"/>
      <c r="G47" s="53"/>
    </row>
    <row r="48" spans="1:7">
      <c r="A48">
        <f>IFERROR(IF(B48="",0,IF(VALUE(LEFT(B48,1))&gt;3,VLOOKUP(VALUE(B48),PROYECCIONES!B:D,3,FALSE),0)),1 + COUNTIF($A$2:A47,"&gt;0"))</f>
        <v>0</v>
      </c>
      <c r="C48" s="52"/>
      <c r="D48" s="53"/>
      <c r="E48" s="53"/>
      <c r="F48" s="53"/>
      <c r="G48" s="53"/>
    </row>
    <row r="49" spans="1:7">
      <c r="A49">
        <f>IFERROR(IF(B49="",0,IF(VALUE(LEFT(B49,1))&gt;3,VLOOKUP(VALUE(B49),PROYECCIONES!B:D,3,FALSE),0)),1 + COUNTIF($A$2:A48,"&gt;0"))</f>
        <v>0</v>
      </c>
      <c r="C49" s="52"/>
      <c r="D49" s="53"/>
      <c r="E49" s="53"/>
      <c r="F49" s="53"/>
      <c r="G49" s="53"/>
    </row>
    <row r="50" spans="1:7">
      <c r="A50">
        <f>IFERROR(IF(B50="",0,IF(VALUE(LEFT(B50,1))&gt;3,VLOOKUP(VALUE(B50),PROYECCIONES!B:D,3,FALSE),0)),1 + COUNTIF($A$2:A49,"&gt;0"))</f>
        <v>0</v>
      </c>
      <c r="C50" s="52"/>
      <c r="D50" s="53"/>
      <c r="E50" s="53"/>
      <c r="F50" s="53"/>
      <c r="G50" s="53"/>
    </row>
    <row r="51" spans="1:7">
      <c r="A51">
        <f>IFERROR(IF(B51="",0,IF(VALUE(LEFT(B51,1))&gt;3,VLOOKUP(VALUE(B51),PROYECCIONES!B:D,3,FALSE),0)),1 + COUNTIF($A$2:A50,"&gt;0"))</f>
        <v>0</v>
      </c>
      <c r="C51" s="52"/>
      <c r="D51" s="53"/>
      <c r="E51" s="53"/>
      <c r="F51" s="53"/>
      <c r="G51" s="53"/>
    </row>
    <row r="52" spans="1:7">
      <c r="A52">
        <f>IFERROR(IF(B52="",0,IF(VALUE(LEFT(B52,1))&gt;3,VLOOKUP(VALUE(B52),PROYECCIONES!B:D,3,FALSE),0)),1 + COUNTIF($A$2:A51,"&gt;0"))</f>
        <v>0</v>
      </c>
      <c r="C52" s="52"/>
      <c r="D52" s="53"/>
      <c r="E52" s="53"/>
      <c r="F52" s="53"/>
      <c r="G52" s="53"/>
    </row>
    <row r="53" spans="1:7">
      <c r="A53">
        <f>IFERROR(IF(B53="",0,IF(VALUE(LEFT(B53,1))&gt;3,VLOOKUP(VALUE(B53),PROYECCIONES!B:D,3,FALSE),0)),1 + COUNTIF($A$2:A52,"&gt;0"))</f>
        <v>0</v>
      </c>
      <c r="C53" s="52"/>
      <c r="D53" s="53"/>
      <c r="E53" s="53"/>
      <c r="F53" s="53"/>
      <c r="G53" s="53"/>
    </row>
    <row r="54" spans="1:7">
      <c r="A54">
        <f>IFERROR(IF(B54="",0,IF(VALUE(LEFT(B54,1))&gt;3,VLOOKUP(VALUE(B54),PROYECCIONES!B:D,3,FALSE),0)),1 + COUNTIF($A$2:A53,"&gt;0"))</f>
        <v>0</v>
      </c>
      <c r="C54" s="52"/>
      <c r="D54" s="53"/>
      <c r="E54" s="53"/>
      <c r="F54" s="53"/>
      <c r="G54" s="53"/>
    </row>
    <row r="55" spans="1:7">
      <c r="A55">
        <f>IFERROR(IF(B55="",0,IF(VALUE(LEFT(B55,1))&gt;3,VLOOKUP(VALUE(B55),PROYECCIONES!B:D,3,FALSE),0)),1 + COUNTIF($A$2:A54,"&gt;0"))</f>
        <v>0</v>
      </c>
      <c r="C55" s="52"/>
      <c r="D55" s="53"/>
      <c r="E55" s="53"/>
      <c r="F55" s="53"/>
      <c r="G55" s="53"/>
    </row>
    <row r="56" spans="1:7">
      <c r="A56">
        <f>IFERROR(IF(B56="",0,IF(VALUE(LEFT(B56,1))&gt;3,VLOOKUP(VALUE(B56),PROYECCIONES!B:D,3,FALSE),0)),1 + COUNTIF($A$2:A55,"&gt;0"))</f>
        <v>0</v>
      </c>
      <c r="C56" s="52"/>
      <c r="D56" s="53"/>
      <c r="E56" s="53"/>
      <c r="F56" s="53"/>
      <c r="G56" s="53"/>
    </row>
    <row r="57" spans="1:7">
      <c r="A57">
        <f>IFERROR(IF(B57="",0,IF(VALUE(LEFT(B57,1))&gt;3,VLOOKUP(VALUE(B57),PROYECCIONES!B:D,3,FALSE),0)),1 + COUNTIF($A$2:A56,"&gt;0"))</f>
        <v>0</v>
      </c>
      <c r="C57" s="52"/>
      <c r="D57" s="53"/>
      <c r="E57" s="53"/>
      <c r="F57" s="53"/>
      <c r="G57" s="53"/>
    </row>
    <row r="58" spans="1:7">
      <c r="A58">
        <f>IFERROR(IF(B58="",0,IF(VALUE(LEFT(B58,1))&gt;3,VLOOKUP(VALUE(B58),PROYECCIONES!B:D,3,FALSE),0)),1 + COUNTIF($A$2:A57,"&gt;0"))</f>
        <v>0</v>
      </c>
      <c r="C58" s="52"/>
      <c r="D58" s="53"/>
      <c r="E58" s="53"/>
      <c r="F58" s="53"/>
      <c r="G58" s="53"/>
    </row>
    <row r="59" spans="1:7">
      <c r="A59">
        <f>IFERROR(IF(B59="",0,IF(VALUE(LEFT(B59,1))&gt;3,VLOOKUP(VALUE(B59),PROYECCIONES!B:D,3,FALSE),0)),1 + COUNTIF($A$2:A58,"&gt;0"))</f>
        <v>0</v>
      </c>
      <c r="C59" s="52"/>
      <c r="D59" s="53"/>
      <c r="E59" s="53"/>
      <c r="F59" s="53"/>
      <c r="G59" s="53"/>
    </row>
    <row r="60" spans="1:7">
      <c r="A60">
        <f>IFERROR(IF(B60="",0,IF(VALUE(LEFT(B60,1))&gt;3,VLOOKUP(VALUE(B60),PROYECCIONES!B:D,3,FALSE),0)),1 + COUNTIF($A$2:A59,"&gt;0"))</f>
        <v>0</v>
      </c>
      <c r="C60" s="52"/>
      <c r="D60" s="53"/>
      <c r="E60" s="53"/>
      <c r="F60" s="53"/>
      <c r="G60" s="53"/>
    </row>
    <row r="61" spans="1:7">
      <c r="A61">
        <f>IFERROR(IF(B61="",0,IF(VALUE(LEFT(B61,1))&gt;3,VLOOKUP(VALUE(B61),PROYECCIONES!B:D,3,FALSE),0)),1 + COUNTIF($A$2:A60,"&gt;0"))</f>
        <v>0</v>
      </c>
      <c r="C61" s="52"/>
      <c r="D61" s="53"/>
      <c r="E61" s="53"/>
      <c r="F61" s="53"/>
      <c r="G61" s="53"/>
    </row>
    <row r="62" spans="1:7">
      <c r="A62">
        <f>IFERROR(IF(B62="",0,IF(VALUE(LEFT(B62,1))&gt;3,VLOOKUP(VALUE(B62),PROYECCIONES!B:D,3,FALSE),0)),1 + COUNTIF($A$2:A61,"&gt;0"))</f>
        <v>0</v>
      </c>
      <c r="C62" s="52"/>
      <c r="D62" s="53"/>
      <c r="E62" s="53"/>
      <c r="F62" s="53"/>
      <c r="G62" s="53"/>
    </row>
    <row r="63" spans="1:7">
      <c r="A63">
        <f>IFERROR(IF(B63="",0,IF(VALUE(LEFT(B63,1))&gt;3,VLOOKUP(VALUE(B63),PROYECCIONES!B:D,3,FALSE),0)),1 + COUNTIF($A$2:A62,"&gt;0"))</f>
        <v>0</v>
      </c>
      <c r="C63" s="52"/>
      <c r="D63" s="53"/>
      <c r="E63" s="53"/>
      <c r="F63" s="53"/>
      <c r="G63" s="53"/>
    </row>
    <row r="64" spans="1:7">
      <c r="A64">
        <f>IFERROR(IF(B64="",0,IF(VALUE(LEFT(B64,1))&gt;3,VLOOKUP(VALUE(B64),PROYECCIONES!B:D,3,FALSE),0)),1 + COUNTIF($A$2:A63,"&gt;0"))</f>
        <v>0</v>
      </c>
      <c r="C64" s="52"/>
      <c r="D64" s="53"/>
      <c r="E64" s="53"/>
      <c r="F64" s="53"/>
      <c r="G64" s="53"/>
    </row>
    <row r="65" spans="1:7">
      <c r="A65">
        <f>IFERROR(IF(B65="",0,IF(VALUE(LEFT(B65,1))&gt;3,VLOOKUP(VALUE(B65),PROYECCIONES!B:D,3,FALSE),0)),1 + COUNTIF($A$2:A64,"&gt;0"))</f>
        <v>0</v>
      </c>
      <c r="C65" s="52"/>
      <c r="D65" s="53"/>
      <c r="E65" s="53"/>
      <c r="F65" s="53"/>
      <c r="G65" s="53"/>
    </row>
    <row r="66" spans="1:7">
      <c r="A66">
        <f>IFERROR(IF(B66="",0,IF(VALUE(LEFT(B66,1))&gt;3,VLOOKUP(VALUE(B66),PROYECCIONES!B:D,3,FALSE),0)),1 + COUNTIF($A$2:A65,"&gt;0"))</f>
        <v>0</v>
      </c>
      <c r="C66" s="52"/>
      <c r="D66" s="53"/>
      <c r="E66" s="53"/>
      <c r="F66" s="53"/>
      <c r="G66" s="53"/>
    </row>
    <row r="67" spans="1:7">
      <c r="A67">
        <f>IFERROR(IF(B67="",0,IF(VALUE(LEFT(B67,1))&gt;3,VLOOKUP(VALUE(B67),PROYECCIONES!B:D,3,FALSE),0)),1 + COUNTIF($A$2:A66,"&gt;0"))</f>
        <v>0</v>
      </c>
      <c r="C67" s="52"/>
      <c r="D67" s="53"/>
      <c r="E67" s="53"/>
      <c r="F67" s="53"/>
      <c r="G67" s="53"/>
    </row>
    <row r="68" spans="1:7">
      <c r="A68">
        <f>IFERROR(IF(B68="",0,IF(VALUE(LEFT(B68,1))&gt;3,VLOOKUP(VALUE(B68),PROYECCIONES!B:D,3,FALSE),0)),1 + COUNTIF($A$2:A67,"&gt;0"))</f>
        <v>0</v>
      </c>
      <c r="C68" s="52"/>
      <c r="D68" s="53"/>
      <c r="E68" s="53"/>
      <c r="F68" s="53"/>
      <c r="G68" s="53"/>
    </row>
    <row r="69" spans="1:7">
      <c r="A69">
        <f>IFERROR(IF(B69="",0,IF(VALUE(LEFT(B69,1))&gt;3,VLOOKUP(VALUE(B69),PROYECCIONES!B:D,3,FALSE),0)),1 + COUNTIF($A$2:A68,"&gt;0"))</f>
        <v>0</v>
      </c>
      <c r="C69" s="52"/>
      <c r="D69" s="53"/>
      <c r="E69" s="53"/>
      <c r="F69" s="53"/>
      <c r="G69" s="53"/>
    </row>
    <row r="70" spans="1:7">
      <c r="A70">
        <f>IFERROR(IF(B70="",0,IF(VALUE(LEFT(B70,1))&gt;3,VLOOKUP(VALUE(B70),PROYECCIONES!B:D,3,FALSE),0)),1 + COUNTIF($A$2:A69,"&gt;0"))</f>
        <v>0</v>
      </c>
      <c r="C70" s="52"/>
      <c r="D70" s="53"/>
      <c r="E70" s="53"/>
      <c r="F70" s="53"/>
      <c r="G70" s="53"/>
    </row>
    <row r="71" spans="1:7">
      <c r="A71">
        <f>IFERROR(IF(B71="",0,IF(VALUE(LEFT(B71,1))&gt;3,VLOOKUP(VALUE(B71),PROYECCIONES!B:D,3,FALSE),0)),1 + COUNTIF($A$2:A70,"&gt;0"))</f>
        <v>0</v>
      </c>
      <c r="C71" s="52"/>
      <c r="D71" s="53"/>
      <c r="E71" s="53"/>
      <c r="F71" s="53"/>
      <c r="G71" s="53"/>
    </row>
    <row r="72" spans="1:7">
      <c r="A72">
        <f>IFERROR(IF(B72="",0,IF(VALUE(LEFT(B72,1))&gt;3,VLOOKUP(VALUE(B72),PROYECCIONES!B:D,3,FALSE),0)),1 + COUNTIF($A$2:A71,"&gt;0"))</f>
        <v>0</v>
      </c>
      <c r="C72" s="52"/>
      <c r="D72" s="53"/>
      <c r="E72" s="53"/>
      <c r="F72" s="53"/>
      <c r="G72" s="53"/>
    </row>
    <row r="73" spans="1:7">
      <c r="A73">
        <f>IFERROR(IF(B73="",0,IF(VALUE(LEFT(B73,1))&gt;3,VLOOKUP(VALUE(B73),PROYECCIONES!B:D,3,FALSE),0)),1 + COUNTIF($A$2:A72,"&gt;0"))</f>
        <v>0</v>
      </c>
      <c r="C73" s="52"/>
      <c r="D73" s="53"/>
      <c r="E73" s="53"/>
      <c r="F73" s="53"/>
      <c r="G73" s="53"/>
    </row>
    <row r="74" spans="1:7">
      <c r="A74">
        <f>IFERROR(IF(B74="",0,IF(VALUE(LEFT(B74,1))&gt;3,VLOOKUP(VALUE(B74),PROYECCIONES!B:D,3,FALSE),0)),1 + COUNTIF($A$2:A73,"&gt;0"))</f>
        <v>0</v>
      </c>
      <c r="C74" s="52"/>
      <c r="D74" s="53"/>
      <c r="E74" s="53"/>
      <c r="F74" s="53"/>
      <c r="G74" s="53"/>
    </row>
    <row r="75" spans="1:7">
      <c r="A75">
        <f>IFERROR(IF(B75="",0,IF(VALUE(LEFT(B75,1))&gt;3,VLOOKUP(VALUE(B75),PROYECCIONES!B:D,3,FALSE),0)),1 + COUNTIF($A$2:A74,"&gt;0"))</f>
        <v>0</v>
      </c>
      <c r="C75" s="52"/>
      <c r="D75" s="53"/>
      <c r="E75" s="53"/>
      <c r="F75" s="53"/>
      <c r="G75" s="53"/>
    </row>
    <row r="76" spans="1:7">
      <c r="A76">
        <f>IFERROR(IF(B76="",0,IF(VALUE(LEFT(B76,1))&gt;3,VLOOKUP(VALUE(B76),PROYECCIONES!B:D,3,FALSE),0)),1 + COUNTIF($A$2:A75,"&gt;0"))</f>
        <v>0</v>
      </c>
      <c r="C76" s="52"/>
      <c r="D76" s="53"/>
      <c r="E76" s="53"/>
      <c r="F76" s="53"/>
      <c r="G76" s="53"/>
    </row>
    <row r="77" spans="1:7">
      <c r="A77">
        <f>IFERROR(IF(B77="",0,IF(VALUE(LEFT(B77,1))&gt;3,VLOOKUP(VALUE(B77),PROYECCIONES!B:D,3,FALSE),0)),1 + COUNTIF($A$2:A76,"&gt;0"))</f>
        <v>0</v>
      </c>
      <c r="C77" s="52"/>
      <c r="D77" s="53"/>
      <c r="E77" s="53"/>
      <c r="F77" s="53"/>
      <c r="G77" s="53"/>
    </row>
    <row r="78" spans="1:7">
      <c r="A78">
        <f>IFERROR(IF(B78="",0,IF(VALUE(LEFT(B78,1))&gt;3,VLOOKUP(VALUE(B78),PROYECCIONES!B:D,3,FALSE),0)),1 + COUNTIF($A$2:A77,"&gt;0"))</f>
        <v>0</v>
      </c>
      <c r="C78" s="52"/>
      <c r="D78" s="53"/>
      <c r="E78" s="53"/>
      <c r="F78" s="53"/>
      <c r="G78" s="53"/>
    </row>
    <row r="79" spans="1:7">
      <c r="A79">
        <f>IFERROR(IF(B79="",0,IF(VALUE(LEFT(B79,1))&gt;3,VLOOKUP(VALUE(B79),PROYECCIONES!B:D,3,FALSE),0)),1 + COUNTIF($A$2:A78,"&gt;0"))</f>
        <v>0</v>
      </c>
      <c r="C79" s="52"/>
      <c r="D79" s="53"/>
      <c r="E79" s="53"/>
      <c r="F79" s="53"/>
      <c r="G79" s="53"/>
    </row>
    <row r="80" spans="1:7">
      <c r="A80">
        <f>IFERROR(IF(B80="",0,IF(VALUE(LEFT(B80,1))&gt;3,VLOOKUP(VALUE(B80),PROYECCIONES!B:D,3,FALSE),0)),1 + COUNTIF($A$2:A79,"&gt;0"))</f>
        <v>0</v>
      </c>
      <c r="C80" s="52"/>
      <c r="D80" s="53"/>
      <c r="E80" s="53"/>
      <c r="F80" s="53"/>
      <c r="G80" s="53"/>
    </row>
    <row r="81" spans="1:7">
      <c r="A81">
        <f>IFERROR(IF(B81="",0,IF(VALUE(LEFT(B81,1))&gt;3,VLOOKUP(VALUE(B81),PROYECCIONES!B:D,3,FALSE),0)),1 + COUNTIF($A$2:A80,"&gt;0"))</f>
        <v>0</v>
      </c>
      <c r="C81" s="52"/>
      <c r="D81" s="53"/>
      <c r="E81" s="53"/>
      <c r="F81" s="53"/>
      <c r="G81" s="53"/>
    </row>
    <row r="82" spans="1:7">
      <c r="A82">
        <f>IFERROR(IF(B82="",0,IF(VALUE(LEFT(B82,1))&gt;3,VLOOKUP(VALUE(B82),PROYECCIONES!B:D,3,FALSE),0)),1 + COUNTIF($A$2:A81,"&gt;0"))</f>
        <v>0</v>
      </c>
      <c r="C82" s="52"/>
      <c r="D82" s="53"/>
      <c r="E82" s="53"/>
      <c r="F82" s="53"/>
      <c r="G82" s="53"/>
    </row>
    <row r="83" spans="1:7">
      <c r="A83">
        <f>IFERROR(IF(B83="",0,IF(VALUE(LEFT(B83,1))&gt;3,VLOOKUP(VALUE(B83),PROYECCIONES!B:D,3,FALSE),0)),1 + COUNTIF($A$2:A82,"&gt;0"))</f>
        <v>0</v>
      </c>
      <c r="C83" s="52"/>
      <c r="D83" s="53"/>
      <c r="E83" s="53"/>
      <c r="F83" s="53"/>
      <c r="G83" s="53"/>
    </row>
    <row r="84" spans="1:7">
      <c r="A84">
        <f>IFERROR(IF(B84="",0,IF(VALUE(LEFT(B84,1))&gt;3,VLOOKUP(VALUE(B84),PROYECCIONES!B:D,3,FALSE),0)),1 + COUNTIF($A$2:A83,"&gt;0"))</f>
        <v>0</v>
      </c>
      <c r="C84" s="52"/>
      <c r="D84" s="53"/>
      <c r="E84" s="53"/>
      <c r="F84" s="53"/>
      <c r="G84" s="53"/>
    </row>
    <row r="85" spans="1:7">
      <c r="A85">
        <f>IFERROR(IF(B85="",0,IF(VALUE(LEFT(B85,1))&gt;3,VLOOKUP(VALUE(B85),PROYECCIONES!B:D,3,FALSE),0)),1 + COUNTIF($A$2:A84,"&gt;0"))</f>
        <v>0</v>
      </c>
      <c r="C85" s="52"/>
      <c r="D85" s="53"/>
      <c r="E85" s="53"/>
      <c r="F85" s="53"/>
      <c r="G85" s="53"/>
    </row>
    <row r="86" spans="1:7">
      <c r="A86">
        <f>IFERROR(IF(B86="",0,IF(VALUE(LEFT(B86,1))&gt;3,VLOOKUP(VALUE(B86),PROYECCIONES!B:D,3,FALSE),0)),1 + COUNTIF($A$2:A85,"&gt;0"))</f>
        <v>0</v>
      </c>
      <c r="C86" s="52"/>
      <c r="D86" s="53"/>
      <c r="E86" s="53"/>
      <c r="F86" s="53"/>
      <c r="G86" s="53"/>
    </row>
    <row r="87" spans="1:7">
      <c r="A87">
        <f>IFERROR(IF(B87="",0,IF(VALUE(LEFT(B87,1))&gt;3,VLOOKUP(VALUE(B87),PROYECCIONES!B:D,3,FALSE),0)),1 + COUNTIF($A$2:A86,"&gt;0"))</f>
        <v>0</v>
      </c>
      <c r="C87" s="52"/>
      <c r="D87" s="53"/>
      <c r="E87" s="53"/>
      <c r="F87" s="53"/>
      <c r="G87" s="53"/>
    </row>
    <row r="88" spans="1:7">
      <c r="A88">
        <f>IFERROR(IF(B88="",0,IF(VALUE(LEFT(B88,1))&gt;3,VLOOKUP(VALUE(B88),PROYECCIONES!B:D,3,FALSE),0)),1 + COUNTIF($A$2:A87,"&gt;0"))</f>
        <v>0</v>
      </c>
      <c r="C88" s="52"/>
      <c r="D88" s="53"/>
      <c r="E88" s="53"/>
      <c r="F88" s="53"/>
      <c r="G88" s="53"/>
    </row>
    <row r="89" spans="1:7">
      <c r="A89">
        <f>IFERROR(IF(B89="",0,IF(VALUE(LEFT(B89,1))&gt;3,VLOOKUP(VALUE(B89),PROYECCIONES!B:D,3,FALSE),0)),1 + COUNTIF($A$2:A88,"&gt;0"))</f>
        <v>0</v>
      </c>
      <c r="C89" s="52"/>
      <c r="D89" s="53"/>
      <c r="E89" s="53"/>
      <c r="F89" s="53"/>
      <c r="G89" s="53"/>
    </row>
    <row r="90" spans="1:7">
      <c r="A90">
        <f>IFERROR(IF(B90="",0,IF(VALUE(LEFT(B90,1))&gt;3,VLOOKUP(VALUE(B90),PROYECCIONES!B:D,3,FALSE),0)),1 + COUNTIF($A$2:A89,"&gt;0"))</f>
        <v>0</v>
      </c>
      <c r="C90" s="52"/>
      <c r="D90" s="53"/>
      <c r="E90" s="53"/>
      <c r="F90" s="53"/>
      <c r="G90" s="53"/>
    </row>
    <row r="91" spans="1:7">
      <c r="A91">
        <f>IFERROR(IF(B91="",0,IF(VALUE(LEFT(B91,1))&gt;3,VLOOKUP(VALUE(B91),PROYECCIONES!B:D,3,FALSE),0)),1 + COUNTIF($A$2:A90,"&gt;0"))</f>
        <v>0</v>
      </c>
      <c r="C91" s="52"/>
      <c r="D91" s="53"/>
      <c r="E91" s="53"/>
      <c r="F91" s="53"/>
      <c r="G91" s="53"/>
    </row>
    <row r="92" spans="1:7">
      <c r="A92">
        <f>IFERROR(IF(B92="",0,IF(VALUE(LEFT(B92,1))&gt;3,VLOOKUP(VALUE(B92),PROYECCIONES!B:D,3,FALSE),0)),1 + COUNTIF($A$2:A91,"&gt;0"))</f>
        <v>0</v>
      </c>
      <c r="C92" s="52"/>
      <c r="D92" s="53"/>
      <c r="E92" s="53"/>
      <c r="F92" s="53"/>
      <c r="G92" s="53"/>
    </row>
    <row r="93" spans="1:7">
      <c r="A93">
        <f>IFERROR(IF(B93="",0,IF(VALUE(LEFT(B93,1))&gt;3,VLOOKUP(VALUE(B93),PROYECCIONES!B:D,3,FALSE),0)),1 + COUNTIF($A$2:A92,"&gt;0"))</f>
        <v>0</v>
      </c>
      <c r="C93" s="52"/>
      <c r="D93" s="53"/>
      <c r="E93" s="53"/>
      <c r="F93" s="53"/>
      <c r="G93" s="53"/>
    </row>
    <row r="94" spans="1:7">
      <c r="A94">
        <f>IFERROR(IF(B94="",0,IF(VALUE(LEFT(B94,1))&gt;3,VLOOKUP(VALUE(B94),PROYECCIONES!B:D,3,FALSE),0)),1 + COUNTIF($A$2:A93,"&gt;0"))</f>
        <v>0</v>
      </c>
      <c r="C94" s="52"/>
      <c r="D94" s="53"/>
      <c r="E94" s="53"/>
      <c r="F94" s="53"/>
      <c r="G94" s="53"/>
    </row>
    <row r="95" spans="1:7">
      <c r="A95">
        <f>IFERROR(IF(B95="",0,IF(VALUE(LEFT(B95,1))&gt;3,VLOOKUP(VALUE(B95),PROYECCIONES!B:D,3,FALSE),0)),1 + COUNTIF($A$2:A94,"&gt;0"))</f>
        <v>0</v>
      </c>
      <c r="C95" s="52"/>
      <c r="D95" s="53"/>
      <c r="E95" s="53"/>
      <c r="F95" s="53"/>
      <c r="G95" s="53"/>
    </row>
    <row r="96" spans="1:7">
      <c r="A96">
        <f>IFERROR(IF(B96="",0,IF(VALUE(LEFT(B96,1))&gt;3,VLOOKUP(VALUE(B96),PROYECCIONES!B:D,3,FALSE),0)),1 + COUNTIF($A$2:A95,"&gt;0"))</f>
        <v>0</v>
      </c>
      <c r="C96" s="52"/>
      <c r="D96" s="53"/>
      <c r="E96" s="53"/>
      <c r="F96" s="53"/>
      <c r="G96" s="53"/>
    </row>
    <row r="97" spans="1:7">
      <c r="A97">
        <f>IFERROR(IF(B97="",0,IF(VALUE(LEFT(B97,1))&gt;3,VLOOKUP(VALUE(B97),PROYECCIONES!B:D,3,FALSE),0)),1 + COUNTIF($A$2:A96,"&gt;0"))</f>
        <v>0</v>
      </c>
      <c r="C97" s="52"/>
      <c r="D97" s="53"/>
      <c r="E97" s="53"/>
      <c r="F97" s="53"/>
      <c r="G97" s="53"/>
    </row>
    <row r="98" spans="1:7">
      <c r="A98">
        <f>IFERROR(IF(B98="",0,IF(VALUE(LEFT(B98,1))&gt;3,VLOOKUP(VALUE(B98),PROYECCIONES!B:D,3,FALSE),0)),1 + COUNTIF($A$2:A97,"&gt;0"))</f>
        <v>0</v>
      </c>
      <c r="C98" s="52"/>
      <c r="D98" s="53"/>
      <c r="E98" s="53"/>
      <c r="F98" s="53"/>
      <c r="G98" s="53"/>
    </row>
    <row r="99" spans="1:7">
      <c r="A99">
        <f>IFERROR(IF(B99="",0,IF(VALUE(LEFT(B99,1))&gt;3,VLOOKUP(VALUE(B99),PROYECCIONES!B:D,3,FALSE),0)),1 + COUNTIF($A$2:A98,"&gt;0"))</f>
        <v>0</v>
      </c>
      <c r="C99" s="52"/>
      <c r="D99" s="53"/>
      <c r="E99" s="53"/>
      <c r="F99" s="53"/>
      <c r="G99" s="53"/>
    </row>
    <row r="100" spans="1:7">
      <c r="A100">
        <f>IFERROR(IF(B100="",0,IF(VALUE(LEFT(B100,1))&gt;3,VLOOKUP(VALUE(B100),PROYECCIONES!B:D,3,FALSE),0)),1 + COUNTIF($A$2:A99,"&gt;0"))</f>
        <v>0</v>
      </c>
      <c r="C100" s="52"/>
      <c r="D100" s="53"/>
      <c r="E100" s="53"/>
      <c r="F100" s="53"/>
      <c r="G100" s="53"/>
    </row>
    <row r="101" spans="1:7">
      <c r="A101">
        <f>IFERROR(IF(B101="",0,IF(VALUE(LEFT(B101,1))&gt;3,VLOOKUP(VALUE(B101),PROYECCIONES!B:D,3,FALSE),0)),1 + COUNTIF($A$2:A100,"&gt;0"))</f>
        <v>0</v>
      </c>
      <c r="C101" s="52"/>
      <c r="D101" s="53"/>
      <c r="E101" s="53"/>
      <c r="F101" s="53"/>
      <c r="G101" s="53"/>
    </row>
    <row r="102" spans="1:7">
      <c r="A102">
        <f>IFERROR(IF(B102="",0,IF(VALUE(LEFT(B102,1))&gt;3,VLOOKUP(VALUE(B102),PROYECCIONES!B:D,3,FALSE),0)),1 + COUNTIF($A$2:A101,"&gt;0"))</f>
        <v>0</v>
      </c>
      <c r="C102" s="52"/>
      <c r="D102" s="53"/>
      <c r="E102" s="53"/>
      <c r="F102" s="53"/>
      <c r="G102" s="53"/>
    </row>
    <row r="103" spans="1:7">
      <c r="A103">
        <f>IFERROR(IF(B103="",0,IF(VALUE(LEFT(B103,1))&gt;3,VLOOKUP(VALUE(B103),PROYECCIONES!B:D,3,FALSE),0)),1 + COUNTIF($A$2:A102,"&gt;0"))</f>
        <v>0</v>
      </c>
      <c r="C103" s="52"/>
      <c r="D103" s="53"/>
      <c r="E103" s="53"/>
      <c r="F103" s="53"/>
      <c r="G103" s="53"/>
    </row>
    <row r="104" spans="1:7">
      <c r="A104">
        <f>IFERROR(IF(B104="",0,IF(VALUE(LEFT(B104,1))&gt;3,VLOOKUP(VALUE(B104),PROYECCIONES!B:D,3,FALSE),0)),1 + COUNTIF($A$2:A103,"&gt;0"))</f>
        <v>0</v>
      </c>
      <c r="C104" s="52"/>
      <c r="D104" s="53"/>
      <c r="E104" s="53"/>
      <c r="F104" s="53"/>
      <c r="G104" s="53"/>
    </row>
    <row r="105" spans="1:7">
      <c r="A105">
        <f>IFERROR(IF(B105="",0,IF(VALUE(LEFT(B105,1))&gt;3,VLOOKUP(VALUE(B105),PROYECCIONES!B:D,3,FALSE),0)),1 + COUNTIF($A$2:A104,"&gt;0"))</f>
        <v>0</v>
      </c>
      <c r="C105" s="52"/>
      <c r="D105" s="53"/>
      <c r="E105" s="53"/>
      <c r="F105" s="53"/>
      <c r="G105" s="53"/>
    </row>
    <row r="106" spans="1:7">
      <c r="A106">
        <f>IFERROR(IF(B106="",0,IF(VALUE(LEFT(B106,1))&gt;3,VLOOKUP(VALUE(B106),PROYECCIONES!B:D,3,FALSE),0)),1 + COUNTIF($A$2:A105,"&gt;0"))</f>
        <v>0</v>
      </c>
      <c r="C106" s="52"/>
      <c r="D106" s="53"/>
      <c r="E106" s="53"/>
      <c r="F106" s="53"/>
      <c r="G106" s="53"/>
    </row>
    <row r="107" spans="1:7">
      <c r="A107">
        <f>IFERROR(IF(B107="",0,IF(VALUE(LEFT(B107,1))&gt;3,VLOOKUP(VALUE(B107),PROYECCIONES!B:D,3,FALSE),0)),1 + COUNTIF($A$2:A106,"&gt;0"))</f>
        <v>0</v>
      </c>
      <c r="C107" s="52"/>
      <c r="D107" s="53"/>
      <c r="E107" s="53"/>
      <c r="F107" s="53"/>
      <c r="G107" s="53"/>
    </row>
    <row r="108" spans="1:7">
      <c r="A108">
        <f>IFERROR(IF(B108="",0,IF(VALUE(LEFT(B108,1))&gt;3,VLOOKUP(VALUE(B108),PROYECCIONES!B:D,3,FALSE),0)),1 + COUNTIF($A$2:A107,"&gt;0"))</f>
        <v>0</v>
      </c>
      <c r="C108" s="52"/>
      <c r="D108" s="53"/>
      <c r="E108" s="53"/>
      <c r="F108" s="53"/>
      <c r="G108" s="53"/>
    </row>
    <row r="109" spans="1:7">
      <c r="A109">
        <f>IFERROR(IF(B109="",0,IF(VALUE(LEFT(B109,1))&gt;3,VLOOKUP(VALUE(B109),PROYECCIONES!B:D,3,FALSE),0)),1 + COUNTIF($A$2:A108,"&gt;0"))</f>
        <v>0</v>
      </c>
      <c r="C109" s="52"/>
      <c r="D109" s="53"/>
      <c r="E109" s="53"/>
      <c r="F109" s="53"/>
      <c r="G109" s="53"/>
    </row>
    <row r="110" spans="1:7">
      <c r="A110">
        <f>IFERROR(IF(B110="",0,IF(VALUE(LEFT(B110,1))&gt;3,VLOOKUP(VALUE(B110),PROYECCIONES!B:D,3,FALSE),0)),1 + COUNTIF($A$2:A109,"&gt;0"))</f>
        <v>0</v>
      </c>
      <c r="C110" s="52"/>
      <c r="D110" s="53"/>
      <c r="E110" s="53"/>
      <c r="F110" s="53"/>
      <c r="G110" s="53"/>
    </row>
    <row r="111" spans="1:7">
      <c r="A111">
        <f>IFERROR(IF(B111="",0,IF(VALUE(LEFT(B111,1))&gt;3,VLOOKUP(VALUE(B111),PROYECCIONES!B:D,3,FALSE),0)),1 + COUNTIF($A$2:A110,"&gt;0"))</f>
        <v>0</v>
      </c>
      <c r="C111" s="52"/>
      <c r="D111" s="53"/>
      <c r="E111" s="53"/>
      <c r="F111" s="53"/>
      <c r="G111" s="53"/>
    </row>
    <row r="112" spans="1:7">
      <c r="A112">
        <f>IFERROR(IF(B112="",0,IF(VALUE(LEFT(B112,1))&gt;3,VLOOKUP(VALUE(B112),PROYECCIONES!B:D,3,FALSE),0)),1 + COUNTIF($A$2:A111,"&gt;0"))</f>
        <v>0</v>
      </c>
      <c r="C112" s="52"/>
      <c r="D112" s="53"/>
      <c r="E112" s="53"/>
      <c r="F112" s="53"/>
      <c r="G112" s="53"/>
    </row>
    <row r="113" spans="1:7">
      <c r="A113">
        <f>IFERROR(IF(B113="",0,IF(VALUE(LEFT(B113,1))&gt;3,VLOOKUP(VALUE(B113),PROYECCIONES!B:D,3,FALSE),0)),1 + COUNTIF($A$2:A112,"&gt;0"))</f>
        <v>0</v>
      </c>
      <c r="C113" s="52"/>
      <c r="D113" s="53"/>
      <c r="E113" s="53"/>
      <c r="F113" s="53"/>
      <c r="G113" s="53"/>
    </row>
    <row r="114" spans="1:7">
      <c r="A114">
        <f>IFERROR(IF(B114="",0,IF(VALUE(LEFT(B114,1))&gt;3,VLOOKUP(VALUE(B114),PROYECCIONES!B:D,3,FALSE),0)),1 + COUNTIF($A$2:A113,"&gt;0"))</f>
        <v>0</v>
      </c>
      <c r="C114" s="52"/>
      <c r="D114" s="53"/>
      <c r="E114" s="53"/>
      <c r="F114" s="53"/>
      <c r="G114" s="53"/>
    </row>
    <row r="115" spans="1:7">
      <c r="A115">
        <f>IFERROR(IF(B115="",0,IF(VALUE(LEFT(B115,1))&gt;3,VLOOKUP(VALUE(B115),PROYECCIONES!B:D,3,FALSE),0)),1 + COUNTIF($A$2:A114,"&gt;0"))</f>
        <v>0</v>
      </c>
      <c r="C115" s="52"/>
      <c r="D115" s="53"/>
      <c r="E115" s="53"/>
      <c r="F115" s="53"/>
      <c r="G115" s="53"/>
    </row>
    <row r="116" spans="1:7">
      <c r="A116">
        <f>IFERROR(IF(B116="",0,IF(VALUE(LEFT(B116,1))&gt;3,VLOOKUP(VALUE(B116),PROYECCIONES!B:D,3,FALSE),0)),1 + COUNTIF($A$2:A115,"&gt;0"))</f>
        <v>0</v>
      </c>
      <c r="C116" s="52"/>
      <c r="D116" s="53"/>
      <c r="E116" s="53"/>
      <c r="F116" s="53"/>
      <c r="G116" s="53"/>
    </row>
    <row r="117" spans="1:7">
      <c r="A117">
        <f>IFERROR(IF(B117="",0,IF(VALUE(LEFT(B117,1))&gt;3,VLOOKUP(VALUE(B117),PROYECCIONES!B:D,3,FALSE),0)),1 + COUNTIF($A$2:A116,"&gt;0"))</f>
        <v>0</v>
      </c>
      <c r="C117" s="52"/>
      <c r="D117" s="53"/>
      <c r="E117" s="53"/>
      <c r="F117" s="53"/>
      <c r="G117" s="53"/>
    </row>
    <row r="118" spans="1:7">
      <c r="A118">
        <f>IFERROR(IF(B118="",0,IF(VALUE(LEFT(B118,1))&gt;3,VLOOKUP(VALUE(B118),PROYECCIONES!B:D,3,FALSE),0)),1 + COUNTIF($A$2:A117,"&gt;0"))</f>
        <v>0</v>
      </c>
      <c r="C118" s="52"/>
      <c r="D118" s="53"/>
      <c r="E118" s="53"/>
      <c r="F118" s="53"/>
      <c r="G118" s="53"/>
    </row>
    <row r="119" spans="1:7">
      <c r="A119">
        <f>IFERROR(IF(B119="",0,IF(VALUE(LEFT(B119,1))&gt;3,VLOOKUP(VALUE(B119),PROYECCIONES!B:D,3,FALSE),0)),1 + COUNTIF($A$2:A118,"&gt;0"))</f>
        <v>0</v>
      </c>
      <c r="C119" s="52"/>
      <c r="D119" s="53"/>
      <c r="E119" s="53"/>
      <c r="F119" s="53"/>
      <c r="G119" s="53"/>
    </row>
    <row r="120" spans="1:7">
      <c r="A120">
        <f>IFERROR(IF(B120="",0,IF(VALUE(LEFT(B120,1))&gt;3,VLOOKUP(VALUE(B120),PROYECCIONES!B:D,3,FALSE),0)),1 + COUNTIF($A$2:A119,"&gt;0"))</f>
        <v>0</v>
      </c>
      <c r="C120" s="52"/>
      <c r="D120" s="53"/>
      <c r="E120" s="53"/>
      <c r="F120" s="53"/>
      <c r="G120" s="53"/>
    </row>
    <row r="121" spans="1:7">
      <c r="A121">
        <f>IFERROR(IF(B121="",0,IF(VALUE(LEFT(B121,1))&gt;3,VLOOKUP(VALUE(B121),PROYECCIONES!B:D,3,FALSE),0)),1 + COUNTIF($A$2:A120,"&gt;0"))</f>
        <v>0</v>
      </c>
      <c r="C121" s="52"/>
      <c r="D121" s="53"/>
      <c r="E121" s="53"/>
      <c r="F121" s="53"/>
      <c r="G121" s="53"/>
    </row>
    <row r="122" spans="1:7">
      <c r="A122">
        <f>IFERROR(IF(B122="",0,IF(VALUE(LEFT(B122,1))&gt;3,VLOOKUP(VALUE(B122),PROYECCIONES!B:D,3,FALSE),0)),1 + COUNTIF($A$2:A121,"&gt;0"))</f>
        <v>0</v>
      </c>
      <c r="C122" s="52"/>
      <c r="D122" s="53"/>
      <c r="E122" s="53"/>
      <c r="F122" s="53"/>
      <c r="G122" s="53"/>
    </row>
    <row r="123" spans="1:7">
      <c r="A123">
        <f>IFERROR(IF(B123="",0,IF(VALUE(LEFT(B123,1))&gt;3,VLOOKUP(VALUE(B123),PROYECCIONES!B:D,3,FALSE),0)),1 + COUNTIF($A$2:A122,"&gt;0"))</f>
        <v>0</v>
      </c>
      <c r="C123" s="52"/>
      <c r="D123" s="53"/>
      <c r="E123" s="53"/>
      <c r="F123" s="53"/>
      <c r="G123" s="53"/>
    </row>
    <row r="124" spans="1:7">
      <c r="A124">
        <f>IFERROR(IF(B124="",0,IF(VALUE(LEFT(B124,1))&gt;3,VLOOKUP(VALUE(B124),PROYECCIONES!B:D,3,FALSE),0)),1 + COUNTIF($A$2:A123,"&gt;0"))</f>
        <v>0</v>
      </c>
      <c r="C124" s="52"/>
      <c r="D124" s="53"/>
      <c r="E124" s="53"/>
      <c r="F124" s="53"/>
      <c r="G124" s="53"/>
    </row>
    <row r="125" spans="1:7">
      <c r="A125">
        <f>IFERROR(IF(B125="",0,IF(VALUE(LEFT(B125,1))&gt;3,VLOOKUP(VALUE(B125),PROYECCIONES!B:D,3,FALSE),0)),1 + COUNTIF($A$2:A124,"&gt;0"))</f>
        <v>0</v>
      </c>
      <c r="C125" s="52"/>
      <c r="D125" s="53"/>
      <c r="E125" s="53"/>
      <c r="F125" s="53"/>
      <c r="G125" s="53"/>
    </row>
    <row r="126" spans="1:7">
      <c r="A126">
        <f>IFERROR(IF(B126="",0,IF(VALUE(LEFT(B126,1))&gt;3,VLOOKUP(VALUE(B126),PROYECCIONES!B:D,3,FALSE),0)),1 + COUNTIF($A$2:A125,"&gt;0"))</f>
        <v>0</v>
      </c>
      <c r="C126" s="52"/>
      <c r="D126" s="53"/>
      <c r="E126" s="53"/>
      <c r="F126" s="53"/>
      <c r="G126" s="53"/>
    </row>
    <row r="127" spans="1:7">
      <c r="A127">
        <f>IFERROR(IF(B127="",0,IF(VALUE(LEFT(B127,1))&gt;3,VLOOKUP(VALUE(B127),PROYECCIONES!B:D,3,FALSE),0)),1 + COUNTIF($A$2:A126,"&gt;0"))</f>
        <v>0</v>
      </c>
      <c r="C127" s="52"/>
      <c r="D127" s="53"/>
      <c r="E127" s="53"/>
      <c r="F127" s="53"/>
      <c r="G127" s="53"/>
    </row>
    <row r="128" spans="1:7">
      <c r="A128">
        <f>IFERROR(IF(B128="",0,IF(VALUE(LEFT(B128,1))&gt;3,VLOOKUP(VALUE(B128),PROYECCIONES!B:D,3,FALSE),0)),1 + COUNTIF($A$2:A127,"&gt;0"))</f>
        <v>0</v>
      </c>
      <c r="C128" s="52"/>
      <c r="D128" s="53"/>
      <c r="E128" s="53"/>
      <c r="F128" s="53"/>
      <c r="G128" s="53"/>
    </row>
    <row r="129" spans="1:7">
      <c r="A129">
        <f>IFERROR(IF(B129="",0,IF(VALUE(LEFT(B129,1))&gt;3,VLOOKUP(VALUE(B129),PROYECCIONES!B:D,3,FALSE),0)),1 + COUNTIF($A$2:A128,"&gt;0"))</f>
        <v>0</v>
      </c>
      <c r="C129" s="52"/>
      <c r="D129" s="53"/>
      <c r="E129" s="53"/>
      <c r="F129" s="53"/>
      <c r="G129" s="53"/>
    </row>
    <row r="130" spans="1:7">
      <c r="A130">
        <f>IFERROR(IF(B130="",0,IF(VALUE(LEFT(B130,1))&gt;3,VLOOKUP(VALUE(B130),PROYECCIONES!B:D,3,FALSE),0)),1 + COUNTIF($A$2:A129,"&gt;0"))</f>
        <v>0</v>
      </c>
      <c r="C130" s="52"/>
      <c r="D130" s="53"/>
      <c r="E130" s="53"/>
      <c r="F130" s="53"/>
      <c r="G130" s="53"/>
    </row>
    <row r="131" spans="1:7">
      <c r="A131">
        <f>IFERROR(IF(B131="",0,IF(VALUE(LEFT(B131,1))&gt;3,VLOOKUP(VALUE(B131),PROYECCIONES!B:D,3,FALSE),0)),1 + COUNTIF($A$2:A130,"&gt;0"))</f>
        <v>0</v>
      </c>
      <c r="C131" s="52"/>
      <c r="D131" s="53"/>
      <c r="E131" s="53"/>
      <c r="F131" s="53"/>
      <c r="G131" s="53"/>
    </row>
    <row r="132" spans="1:7">
      <c r="A132">
        <f>IFERROR(IF(B132="",0,IF(VALUE(LEFT(B132,1))&gt;3,VLOOKUP(VALUE(B132),PROYECCIONES!B:D,3,FALSE),0)),1 + COUNTIF($A$2:A131,"&gt;0"))</f>
        <v>0</v>
      </c>
      <c r="C132" s="52"/>
      <c r="D132" s="53"/>
      <c r="E132" s="53"/>
      <c r="F132" s="53"/>
      <c r="G132" s="53"/>
    </row>
    <row r="133" spans="1:7">
      <c r="A133">
        <f>IFERROR(IF(B133="",0,IF(VALUE(LEFT(B133,1))&gt;3,VLOOKUP(VALUE(B133),PROYECCIONES!B:D,3,FALSE),0)),1 + COUNTIF($A$2:A132,"&gt;0"))</f>
        <v>0</v>
      </c>
      <c r="C133" s="52"/>
      <c r="D133" s="53"/>
      <c r="E133" s="53"/>
      <c r="F133" s="53"/>
      <c r="G133" s="53"/>
    </row>
    <row r="134" spans="1:7">
      <c r="A134">
        <f>IFERROR(IF(B134="",0,IF(VALUE(LEFT(B134,1))&gt;3,VLOOKUP(VALUE(B134),PROYECCIONES!B:D,3,FALSE),0)),1 + COUNTIF($A$2:A133,"&gt;0"))</f>
        <v>0</v>
      </c>
      <c r="C134" s="52"/>
      <c r="D134" s="53"/>
      <c r="E134" s="53"/>
      <c r="F134" s="53"/>
      <c r="G134" s="53"/>
    </row>
    <row r="135" spans="1:7">
      <c r="A135">
        <f>IFERROR(IF(B135="",0,IF(VALUE(LEFT(B135,1))&gt;3,VLOOKUP(VALUE(B135),PROYECCIONES!B:D,3,FALSE),0)),1 + COUNTIF($A$2:A134,"&gt;0"))</f>
        <v>0</v>
      </c>
      <c r="C135" s="52"/>
      <c r="D135" s="53"/>
      <c r="E135" s="53"/>
      <c r="F135" s="53"/>
      <c r="G135" s="53"/>
    </row>
    <row r="136" spans="1:7">
      <c r="A136">
        <f>IFERROR(IF(B136="",0,IF(VALUE(LEFT(B136,1))&gt;3,VLOOKUP(VALUE(B136),PROYECCIONES!B:D,3,FALSE),0)),1 + COUNTIF($A$2:A135,"&gt;0"))</f>
        <v>0</v>
      </c>
      <c r="C136" s="52"/>
      <c r="D136" s="53"/>
      <c r="E136" s="53"/>
      <c r="F136" s="53"/>
      <c r="G136" s="53"/>
    </row>
    <row r="137" spans="1:7">
      <c r="A137">
        <f>IFERROR(IF(B137="",0,IF(VALUE(LEFT(B137,1))&gt;3,VLOOKUP(VALUE(B137),PROYECCIONES!B:D,3,FALSE),0)),1 + COUNTIF($A$2:A136,"&gt;0"))</f>
        <v>0</v>
      </c>
      <c r="C137" s="52"/>
      <c r="D137" s="53"/>
      <c r="E137" s="53"/>
      <c r="F137" s="53"/>
      <c r="G137" s="53"/>
    </row>
    <row r="138" spans="1:7">
      <c r="A138">
        <f>IFERROR(IF(B138="",0,IF(VALUE(LEFT(B138,1))&gt;3,VLOOKUP(VALUE(B138),PROYECCIONES!B:D,3,FALSE),0)),1 + COUNTIF($A$2:A137,"&gt;0"))</f>
        <v>0</v>
      </c>
      <c r="C138" s="52"/>
      <c r="D138" s="53"/>
      <c r="E138" s="53"/>
      <c r="F138" s="53"/>
      <c r="G138" s="53"/>
    </row>
    <row r="139" spans="1:7">
      <c r="A139">
        <f>IFERROR(IF(B139="",0,IF(VALUE(LEFT(B139,1))&gt;3,VLOOKUP(VALUE(B139),PROYECCIONES!B:D,3,FALSE),0)),1 + COUNTIF($A$2:A138,"&gt;0"))</f>
        <v>0</v>
      </c>
      <c r="C139" s="52"/>
      <c r="D139" s="53"/>
      <c r="E139" s="53"/>
      <c r="F139" s="53"/>
      <c r="G139" s="53"/>
    </row>
    <row r="140" spans="1:7">
      <c r="A140">
        <f>IFERROR(IF(B140="",0,IF(VALUE(LEFT(B140,1))&gt;3,VLOOKUP(VALUE(B140),PROYECCIONES!B:D,3,FALSE),0)),1 + COUNTIF($A$2:A139,"&gt;0"))</f>
        <v>0</v>
      </c>
      <c r="C140" s="52"/>
      <c r="D140" s="53"/>
      <c r="E140" s="53"/>
      <c r="F140" s="53"/>
      <c r="G140" s="53"/>
    </row>
    <row r="141" spans="1:7">
      <c r="A141">
        <f>IFERROR(IF(B141="",0,IF(VALUE(LEFT(B141,1))&gt;3,VLOOKUP(VALUE(B141),PROYECCIONES!B:D,3,FALSE),0)),1 + COUNTIF($A$2:A140,"&gt;0"))</f>
        <v>0</v>
      </c>
      <c r="C141" s="52"/>
      <c r="D141" s="53"/>
      <c r="E141" s="53"/>
      <c r="F141" s="53"/>
      <c r="G141" s="53"/>
    </row>
    <row r="142" spans="1:7">
      <c r="A142">
        <f>IFERROR(IF(B142="",0,IF(VALUE(LEFT(B142,1))&gt;3,VLOOKUP(VALUE(B142),PROYECCIONES!B:D,3,FALSE),0)),1 + COUNTIF($A$2:A141,"&gt;0"))</f>
        <v>0</v>
      </c>
      <c r="C142" s="52"/>
      <c r="D142" s="53"/>
      <c r="E142" s="53"/>
      <c r="F142" s="53"/>
      <c r="G142" s="53"/>
    </row>
    <row r="143" spans="1:7">
      <c r="A143">
        <f>IFERROR(IF(B143="",0,IF(VALUE(LEFT(B143,1))&gt;3,VLOOKUP(VALUE(B143),PROYECCIONES!B:D,3,FALSE),0)),1 + COUNTIF($A$2:A142,"&gt;0"))</f>
        <v>0</v>
      </c>
      <c r="C143" s="52"/>
      <c r="D143" s="53"/>
      <c r="E143" s="53"/>
      <c r="F143" s="53"/>
      <c r="G143" s="53"/>
    </row>
    <row r="144" spans="1:7">
      <c r="A144">
        <f>IFERROR(IF(B144="",0,IF(VALUE(LEFT(B144,1))&gt;3,VLOOKUP(VALUE(B144),PROYECCIONES!B:D,3,FALSE),0)),1 + COUNTIF($A$2:A143,"&gt;0"))</f>
        <v>0</v>
      </c>
      <c r="C144" s="52"/>
      <c r="D144" s="53"/>
      <c r="E144" s="53"/>
      <c r="F144" s="53"/>
      <c r="G144" s="53"/>
    </row>
    <row r="145" spans="1:7">
      <c r="A145">
        <f>IFERROR(IF(B145="",0,IF(VALUE(LEFT(B145,1))&gt;3,VLOOKUP(VALUE(B145),PROYECCIONES!B:D,3,FALSE),0)),1 + COUNTIF($A$2:A144,"&gt;0"))</f>
        <v>0</v>
      </c>
      <c r="C145" s="52"/>
      <c r="D145" s="53"/>
      <c r="E145" s="53"/>
      <c r="F145" s="53"/>
      <c r="G145" s="53"/>
    </row>
    <row r="146" spans="1:7">
      <c r="A146">
        <f>IFERROR(IF(B146="",0,IF(VALUE(LEFT(B146,1))&gt;3,VLOOKUP(VALUE(B146),PROYECCIONES!B:D,3,FALSE),0)),1 + COUNTIF($A$2:A145,"&gt;0"))</f>
        <v>0</v>
      </c>
      <c r="C146" s="52"/>
      <c r="D146" s="53"/>
      <c r="E146" s="53"/>
      <c r="F146" s="53"/>
      <c r="G146" s="53"/>
    </row>
    <row r="147" spans="1:7">
      <c r="A147">
        <f>IFERROR(IF(B147="",0,IF(VALUE(LEFT(B147,1))&gt;3,VLOOKUP(VALUE(B147),PROYECCIONES!B:D,3,FALSE),0)),1 + COUNTIF($A$2:A146,"&gt;0"))</f>
        <v>0</v>
      </c>
      <c r="C147" s="52"/>
      <c r="D147" s="53"/>
      <c r="E147" s="53"/>
      <c r="F147" s="53"/>
      <c r="G147" s="53"/>
    </row>
    <row r="148" spans="1:7">
      <c r="A148">
        <f>IFERROR(IF(B148="",0,IF(VALUE(LEFT(B148,1))&gt;3,VLOOKUP(VALUE(B148),PROYECCIONES!B:D,3,FALSE),0)),1 + COUNTIF($A$2:A147,"&gt;0"))</f>
        <v>0</v>
      </c>
      <c r="C148" s="52"/>
      <c r="D148" s="53"/>
      <c r="E148" s="53"/>
      <c r="F148" s="53"/>
      <c r="G148" s="53"/>
    </row>
    <row r="149" spans="1:7">
      <c r="A149">
        <f>IFERROR(IF(B149="",0,IF(VALUE(LEFT(B149,1))&gt;3,VLOOKUP(VALUE(B149),PROYECCIONES!B:D,3,FALSE),0)),1 + COUNTIF($A$2:A148,"&gt;0"))</f>
        <v>0</v>
      </c>
      <c r="C149" s="52"/>
      <c r="D149" s="53"/>
      <c r="E149" s="53"/>
      <c r="F149" s="53"/>
      <c r="G149" s="53"/>
    </row>
    <row r="150" spans="1:7">
      <c r="A150">
        <f>IFERROR(IF(B150="",0,IF(VALUE(LEFT(B150,1))&gt;3,VLOOKUP(VALUE(B150),PROYECCIONES!B:D,3,FALSE),0)),1 + COUNTIF($A$2:A149,"&gt;0"))</f>
        <v>0</v>
      </c>
      <c r="C150" s="52"/>
      <c r="D150" s="53"/>
      <c r="E150" s="53"/>
      <c r="F150" s="53"/>
      <c r="G150" s="53"/>
    </row>
    <row r="151" spans="1:7">
      <c r="A151">
        <f>IFERROR(IF(B151="",0,IF(VALUE(LEFT(B151,1))&gt;3,VLOOKUP(VALUE(B151),PROYECCIONES!B:D,3,FALSE),0)),1 + COUNTIF($A$2:A150,"&gt;0"))</f>
        <v>0</v>
      </c>
      <c r="C151" s="52"/>
      <c r="D151" s="53"/>
      <c r="E151" s="53"/>
      <c r="F151" s="53"/>
      <c r="G151" s="53"/>
    </row>
    <row r="152" spans="1:7">
      <c r="A152">
        <f>IFERROR(IF(B152="",0,IF(VALUE(LEFT(B152,1))&gt;3,VLOOKUP(VALUE(B152),PROYECCIONES!B:D,3,FALSE),0)),1 + COUNTIF($A$2:A151,"&gt;0"))</f>
        <v>0</v>
      </c>
      <c r="C152" s="52"/>
      <c r="D152" s="53"/>
      <c r="E152" s="53"/>
      <c r="F152" s="53"/>
      <c r="G152" s="53"/>
    </row>
    <row r="153" spans="1:7">
      <c r="A153">
        <f>IFERROR(IF(B153="",0,IF(VALUE(LEFT(B153,1))&gt;3,VLOOKUP(VALUE(B153),PROYECCIONES!B:D,3,FALSE),0)),1 + COUNTIF($A$2:A152,"&gt;0"))</f>
        <v>0</v>
      </c>
      <c r="C153" s="52"/>
      <c r="D153" s="53"/>
      <c r="E153" s="53"/>
      <c r="F153" s="53"/>
      <c r="G153" s="53"/>
    </row>
    <row r="154" spans="1:7">
      <c r="A154">
        <f>IFERROR(IF(B154="",0,IF(VALUE(LEFT(B154,1))&gt;3,VLOOKUP(VALUE(B154),PROYECCIONES!B:D,3,FALSE),0)),1 + COUNTIF($A$2:A153,"&gt;0"))</f>
        <v>0</v>
      </c>
      <c r="C154" s="52"/>
      <c r="D154" s="53"/>
      <c r="E154" s="53"/>
      <c r="F154" s="53"/>
      <c r="G154" s="53"/>
    </row>
    <row r="155" spans="1:7">
      <c r="A155">
        <f>IFERROR(IF(B155="",0,IF(VALUE(LEFT(B155,1))&gt;3,VLOOKUP(VALUE(B155),PROYECCIONES!B:D,3,FALSE),0)),1 + COUNTIF($A$2:A154,"&gt;0"))</f>
        <v>0</v>
      </c>
      <c r="C155" s="52"/>
      <c r="D155" s="53"/>
      <c r="E155" s="53"/>
      <c r="F155" s="53"/>
      <c r="G155" s="53"/>
    </row>
    <row r="156" spans="1:7">
      <c r="A156">
        <f>IFERROR(IF(B156="",0,IF(VALUE(LEFT(B156,1))&gt;3,VLOOKUP(VALUE(B156),PROYECCIONES!B:D,3,FALSE),0)),1 + COUNTIF($A$2:A155,"&gt;0"))</f>
        <v>0</v>
      </c>
      <c r="C156" s="52"/>
      <c r="D156" s="53"/>
      <c r="E156" s="53"/>
      <c r="F156" s="53"/>
      <c r="G156" s="53"/>
    </row>
    <row r="157" spans="1:7">
      <c r="A157">
        <f>IFERROR(IF(B157="",0,IF(VALUE(LEFT(B157,1))&gt;3,VLOOKUP(VALUE(B157),PROYECCIONES!B:D,3,FALSE),0)),1 + COUNTIF($A$2:A156,"&gt;0"))</f>
        <v>0</v>
      </c>
      <c r="C157" s="52"/>
      <c r="D157" s="53"/>
      <c r="E157" s="53"/>
      <c r="F157" s="53"/>
      <c r="G157" s="53"/>
    </row>
    <row r="158" spans="1:7">
      <c r="A158">
        <f>IFERROR(IF(B158="",0,IF(VALUE(LEFT(B158,1))&gt;3,VLOOKUP(VALUE(B158),PROYECCIONES!B:D,3,FALSE),0)),1 + COUNTIF($A$2:A157,"&gt;0"))</f>
        <v>0</v>
      </c>
      <c r="C158" s="52"/>
      <c r="D158" s="53"/>
      <c r="E158" s="53"/>
      <c r="F158" s="53"/>
      <c r="G158" s="53"/>
    </row>
    <row r="159" spans="1:7">
      <c r="A159">
        <f>IFERROR(IF(B159="",0,IF(VALUE(LEFT(B159,1))&gt;3,VLOOKUP(VALUE(B159),PROYECCIONES!B:D,3,FALSE),0)),1 + COUNTIF($A$2:A158,"&gt;0"))</f>
        <v>0</v>
      </c>
      <c r="C159" s="52"/>
      <c r="D159" s="53"/>
      <c r="E159" s="53"/>
      <c r="F159" s="53"/>
      <c r="G159" s="53"/>
    </row>
    <row r="160" spans="1:7">
      <c r="A160">
        <f>IFERROR(IF(B160="",0,IF(VALUE(LEFT(B160,1))&gt;3,VLOOKUP(VALUE(B160),PROYECCIONES!B:D,3,FALSE),0)),1 + COUNTIF($A$2:A159,"&gt;0"))</f>
        <v>0</v>
      </c>
      <c r="C160" s="52"/>
      <c r="D160" s="53"/>
      <c r="E160" s="53"/>
      <c r="F160" s="53"/>
      <c r="G160" s="53"/>
    </row>
    <row r="161" spans="1:7">
      <c r="A161">
        <f>IFERROR(IF(B161="",0,IF(VALUE(LEFT(B161,1))&gt;3,VLOOKUP(VALUE(B161),PROYECCIONES!B:D,3,FALSE),0)),1 + COUNTIF($A$2:A160,"&gt;0"))</f>
        <v>0</v>
      </c>
      <c r="C161" s="52"/>
      <c r="D161" s="53"/>
      <c r="E161" s="53"/>
      <c r="F161" s="53"/>
      <c r="G161" s="53"/>
    </row>
    <row r="162" spans="1:7">
      <c r="A162">
        <f>IFERROR(IF(B162="",0,IF(VALUE(LEFT(B162,1))&gt;3,VLOOKUP(VALUE(B162),PROYECCIONES!B:D,3,FALSE),0)),1 + COUNTIF($A$2:A161,"&gt;0"))</f>
        <v>0</v>
      </c>
      <c r="C162" s="52"/>
      <c r="D162" s="53"/>
      <c r="E162" s="53"/>
      <c r="F162" s="53"/>
      <c r="G162" s="53"/>
    </row>
    <row r="163" spans="1:7">
      <c r="A163">
        <f>IFERROR(IF(B163="",0,IF(VALUE(LEFT(B163,1))&gt;3,VLOOKUP(VALUE(B163),PROYECCIONES!B:D,3,FALSE),0)),1 + COUNTIF($A$2:A162,"&gt;0"))</f>
        <v>0</v>
      </c>
      <c r="C163" s="52"/>
      <c r="D163" s="53"/>
      <c r="E163" s="53"/>
      <c r="F163" s="53"/>
      <c r="G163" s="53"/>
    </row>
    <row r="164" spans="1:7">
      <c r="A164">
        <f>IFERROR(IF(B164="",0,IF(VALUE(LEFT(B164,1))&gt;3,VLOOKUP(VALUE(B164),PROYECCIONES!B:D,3,FALSE),0)),1 + COUNTIF($A$2:A163,"&gt;0"))</f>
        <v>0</v>
      </c>
      <c r="C164" s="52"/>
      <c r="D164" s="53"/>
      <c r="E164" s="53"/>
      <c r="F164" s="53"/>
      <c r="G164" s="53"/>
    </row>
    <row r="165" spans="1:7">
      <c r="A165">
        <f>IFERROR(IF(B165="",0,IF(VALUE(LEFT(B165,1))&gt;3,VLOOKUP(VALUE(B165),PROYECCIONES!B:D,3,FALSE),0)),1 + COUNTIF($A$2:A164,"&gt;0"))</f>
        <v>0</v>
      </c>
      <c r="C165" s="52"/>
      <c r="D165" s="53"/>
      <c r="E165" s="53"/>
      <c r="F165" s="53"/>
      <c r="G165" s="53"/>
    </row>
    <row r="166" spans="1:7">
      <c r="A166">
        <f>IFERROR(IF(B166="",0,IF(VALUE(LEFT(B166,1))&gt;3,VLOOKUP(VALUE(B166),PROYECCIONES!B:D,3,FALSE),0)),1 + COUNTIF($A$2:A165,"&gt;0"))</f>
        <v>0</v>
      </c>
      <c r="C166" s="52"/>
      <c r="D166" s="53"/>
      <c r="E166" s="53"/>
      <c r="F166" s="53"/>
      <c r="G166" s="53"/>
    </row>
    <row r="167" spans="1:7">
      <c r="A167">
        <f>IFERROR(IF(B167="",0,IF(VALUE(LEFT(B167,1))&gt;3,VLOOKUP(VALUE(B167),PROYECCIONES!B:D,3,FALSE),0)),1 + COUNTIF($A$2:A166,"&gt;0"))</f>
        <v>0</v>
      </c>
      <c r="C167" s="52"/>
      <c r="D167" s="53"/>
      <c r="E167" s="53"/>
      <c r="F167" s="53"/>
      <c r="G167" s="53"/>
    </row>
    <row r="168" spans="1:7">
      <c r="A168">
        <f>IFERROR(IF(B168="",0,IF(VALUE(LEFT(B168,1))&gt;3,VLOOKUP(VALUE(B168),PROYECCIONES!B:D,3,FALSE),0)),1 + COUNTIF($A$2:A167,"&gt;0"))</f>
        <v>0</v>
      </c>
      <c r="C168" s="52"/>
      <c r="D168" s="53"/>
      <c r="E168" s="53"/>
      <c r="F168" s="53"/>
      <c r="G168" s="53"/>
    </row>
    <row r="169" spans="1:7">
      <c r="A169">
        <f>IFERROR(IF(B169="",0,IF(VALUE(LEFT(B169,1))&gt;3,VLOOKUP(VALUE(B169),PROYECCIONES!B:D,3,FALSE),0)),1 + COUNTIF($A$2:A168,"&gt;0"))</f>
        <v>0</v>
      </c>
      <c r="C169" s="52"/>
      <c r="D169" s="53"/>
      <c r="E169" s="53"/>
      <c r="F169" s="53"/>
      <c r="G169" s="53"/>
    </row>
    <row r="170" spans="1:7">
      <c r="A170">
        <f>IFERROR(IF(B170="",0,IF(VALUE(LEFT(B170,1))&gt;3,VLOOKUP(VALUE(B170),PROYECCIONES!B:D,3,FALSE),0)),1 + COUNTIF($A$2:A169,"&gt;0"))</f>
        <v>0</v>
      </c>
      <c r="C170" s="52"/>
      <c r="D170" s="53"/>
      <c r="E170" s="53"/>
      <c r="F170" s="53"/>
      <c r="G170" s="53"/>
    </row>
    <row r="171" spans="1:7">
      <c r="A171">
        <f>IFERROR(IF(B171="",0,IF(VALUE(LEFT(B171,1))&gt;3,VLOOKUP(VALUE(B171),PROYECCIONES!B:D,3,FALSE),0)),1 + COUNTIF($A$2:A170,"&gt;0"))</f>
        <v>0</v>
      </c>
      <c r="C171" s="52"/>
      <c r="D171" s="53"/>
      <c r="E171" s="53"/>
      <c r="F171" s="53"/>
      <c r="G171" s="53"/>
    </row>
    <row r="172" spans="1:7">
      <c r="A172">
        <f>IFERROR(IF(B172="",0,IF(VALUE(LEFT(B172,1))&gt;3,VLOOKUP(VALUE(B172),PROYECCIONES!B:D,3,FALSE),0)),1 + COUNTIF($A$2:A171,"&gt;0"))</f>
        <v>0</v>
      </c>
      <c r="C172" s="52"/>
      <c r="D172" s="53"/>
      <c r="E172" s="53"/>
      <c r="F172" s="53"/>
      <c r="G172" s="53"/>
    </row>
    <row r="173" spans="1:7">
      <c r="A173">
        <f>IFERROR(IF(B173="",0,IF(VALUE(LEFT(B173,1))&gt;3,VLOOKUP(VALUE(B173),PROYECCIONES!B:D,3,FALSE),0)),1 + COUNTIF($A$2:A172,"&gt;0"))</f>
        <v>0</v>
      </c>
      <c r="C173" s="52"/>
      <c r="D173" s="53"/>
      <c r="E173" s="53"/>
      <c r="F173" s="53"/>
      <c r="G173" s="53"/>
    </row>
    <row r="174" spans="1:7">
      <c r="A174">
        <f>IFERROR(IF(B174="",0,IF(VALUE(LEFT(B174,1))&gt;3,VLOOKUP(VALUE(B174),PROYECCIONES!B:D,3,FALSE),0)),1 + COUNTIF($A$2:A173,"&gt;0"))</f>
        <v>0</v>
      </c>
      <c r="C174" s="52"/>
      <c r="D174" s="53"/>
      <c r="E174" s="53"/>
      <c r="F174" s="53"/>
      <c r="G174" s="53"/>
    </row>
    <row r="175" spans="1:7">
      <c r="A175">
        <f>IFERROR(IF(B175="",0,IF(VALUE(LEFT(B175,1))&gt;3,VLOOKUP(VALUE(B175),PROYECCIONES!B:D,3,FALSE),0)),1 + COUNTIF($A$2:A174,"&gt;0"))</f>
        <v>0</v>
      </c>
      <c r="C175" s="52"/>
      <c r="D175" s="53"/>
      <c r="E175" s="53"/>
      <c r="F175" s="53"/>
      <c r="G175" s="53"/>
    </row>
    <row r="176" spans="1:7">
      <c r="A176">
        <f>IFERROR(IF(B176="",0,IF(VALUE(LEFT(B176,1))&gt;3,VLOOKUP(VALUE(B176),PROYECCIONES!B:D,3,FALSE),0)),1 + COUNTIF($A$2:A175,"&gt;0"))</f>
        <v>0</v>
      </c>
      <c r="C176" s="52"/>
      <c r="D176" s="53"/>
      <c r="E176" s="53"/>
      <c r="F176" s="53"/>
      <c r="G176" s="53"/>
    </row>
    <row r="177" spans="1:7">
      <c r="A177">
        <f>IFERROR(IF(B177="",0,IF(VALUE(LEFT(B177,1))&gt;3,VLOOKUP(VALUE(B177),PROYECCIONES!B:D,3,FALSE),0)),1 + COUNTIF($A$2:A176,"&gt;0"))</f>
        <v>0</v>
      </c>
      <c r="C177" s="52"/>
      <c r="D177" s="53"/>
      <c r="E177" s="53"/>
      <c r="F177" s="53"/>
      <c r="G177" s="53"/>
    </row>
    <row r="178" spans="1:7">
      <c r="A178">
        <f>IFERROR(IF(B178="",0,IF(VALUE(LEFT(B178,1))&gt;3,VLOOKUP(VALUE(B178),PROYECCIONES!B:D,3,FALSE),0)),1 + COUNTIF($A$2:A177,"&gt;0"))</f>
        <v>0</v>
      </c>
      <c r="C178" s="52"/>
      <c r="D178" s="53"/>
      <c r="E178" s="53"/>
      <c r="F178" s="53"/>
      <c r="G178" s="53"/>
    </row>
    <row r="179" spans="1:7">
      <c r="A179">
        <f>IFERROR(IF(B179="",0,IF(VALUE(LEFT(B179,1))&gt;3,VLOOKUP(VALUE(B179),PROYECCIONES!B:D,3,FALSE),0)),1 + COUNTIF($A$2:A178,"&gt;0"))</f>
        <v>0</v>
      </c>
      <c r="C179" s="52"/>
      <c r="D179" s="53"/>
      <c r="E179" s="53"/>
      <c r="F179" s="53"/>
      <c r="G179" s="53"/>
    </row>
    <row r="180" spans="1:7">
      <c r="A180">
        <f>IFERROR(IF(B180="",0,IF(VALUE(LEFT(B180,1))&gt;3,VLOOKUP(VALUE(B180),PROYECCIONES!B:D,3,FALSE),0)),1 + COUNTIF($A$2:A179,"&gt;0"))</f>
        <v>0</v>
      </c>
      <c r="C180" s="52"/>
      <c r="D180" s="53"/>
      <c r="E180" s="53"/>
      <c r="F180" s="53"/>
      <c r="G180" s="53"/>
    </row>
    <row r="181" spans="1:7">
      <c r="A181">
        <f>IFERROR(IF(B181="",0,IF(VALUE(LEFT(B181,1))&gt;3,VLOOKUP(VALUE(B181),PROYECCIONES!B:D,3,FALSE),0)),1 + COUNTIF($A$2:A180,"&gt;0"))</f>
        <v>0</v>
      </c>
      <c r="C181" s="52"/>
      <c r="D181" s="53"/>
      <c r="E181" s="53"/>
      <c r="F181" s="53"/>
      <c r="G181" s="53"/>
    </row>
    <row r="182" spans="1:7">
      <c r="A182">
        <f>IFERROR(IF(B182="",0,IF(VALUE(LEFT(B182,1))&gt;3,VLOOKUP(VALUE(B182),PROYECCIONES!B:D,3,FALSE),0)),1 + COUNTIF($A$2:A181,"&gt;0"))</f>
        <v>0</v>
      </c>
      <c r="C182" s="52"/>
      <c r="D182" s="53"/>
      <c r="E182" s="53"/>
      <c r="F182" s="53"/>
      <c r="G182" s="53"/>
    </row>
    <row r="183" spans="1:7">
      <c r="A183">
        <f>IFERROR(IF(B183="",0,IF(VALUE(LEFT(B183,1))&gt;3,VLOOKUP(VALUE(B183),PROYECCIONES!B:D,3,FALSE),0)),1 + COUNTIF($A$2:A182,"&gt;0"))</f>
        <v>0</v>
      </c>
      <c r="C183" s="52"/>
      <c r="D183" s="53"/>
      <c r="E183" s="53"/>
      <c r="F183" s="53"/>
      <c r="G183" s="53"/>
    </row>
    <row r="184" spans="1:7">
      <c r="A184">
        <f>IFERROR(IF(B184="",0,IF(VALUE(LEFT(B184,1))&gt;3,VLOOKUP(VALUE(B184),PROYECCIONES!B:D,3,FALSE),0)),1 + COUNTIF($A$2:A183,"&gt;0"))</f>
        <v>0</v>
      </c>
      <c r="C184" s="52"/>
      <c r="D184" s="53"/>
      <c r="E184" s="53"/>
      <c r="F184" s="53"/>
      <c r="G184" s="53"/>
    </row>
    <row r="185" spans="1:7">
      <c r="A185">
        <f>IFERROR(IF(B185="",0,IF(VALUE(LEFT(B185,1))&gt;3,VLOOKUP(VALUE(B185),PROYECCIONES!B:D,3,FALSE),0)),1 + COUNTIF($A$2:A184,"&gt;0"))</f>
        <v>0</v>
      </c>
      <c r="C185" s="52"/>
      <c r="D185" s="53"/>
      <c r="E185" s="53"/>
      <c r="F185" s="53"/>
      <c r="G185" s="53"/>
    </row>
    <row r="186" spans="1:7">
      <c r="A186">
        <f>IFERROR(IF(B186="",0,IF(VALUE(LEFT(B186,1))&gt;3,VLOOKUP(VALUE(B186),PROYECCIONES!B:D,3,FALSE),0)),1 + COUNTIF($A$2:A185,"&gt;0"))</f>
        <v>0</v>
      </c>
      <c r="C186" s="52"/>
      <c r="D186" s="53"/>
      <c r="E186" s="53"/>
      <c r="F186" s="53"/>
      <c r="G186" s="53"/>
    </row>
    <row r="187" spans="1:7">
      <c r="A187">
        <f>IFERROR(IF(B187="",0,IF(VALUE(LEFT(B187,1))&gt;3,VLOOKUP(VALUE(B187),PROYECCIONES!B:D,3,FALSE),0)),1 + COUNTIF($A$2:A186,"&gt;0"))</f>
        <v>0</v>
      </c>
      <c r="C187" s="52"/>
      <c r="D187" s="53"/>
      <c r="E187" s="53"/>
      <c r="F187" s="53"/>
      <c r="G187" s="53"/>
    </row>
    <row r="188" spans="1:7">
      <c r="A188">
        <f>IFERROR(IF(B188="",0,IF(VALUE(LEFT(B188,1))&gt;3,VLOOKUP(VALUE(B188),PROYECCIONES!B:D,3,FALSE),0)),1 + COUNTIF($A$2:A187,"&gt;0"))</f>
        <v>0</v>
      </c>
      <c r="C188" s="52"/>
      <c r="D188" s="53"/>
      <c r="E188" s="53"/>
      <c r="F188" s="53"/>
      <c r="G188" s="53"/>
    </row>
    <row r="189" spans="1:7">
      <c r="A189">
        <f>IFERROR(IF(B189="",0,IF(VALUE(LEFT(B189,1))&gt;3,VLOOKUP(VALUE(B189),PROYECCIONES!B:D,3,FALSE),0)),1 + COUNTIF($A$2:A188,"&gt;0"))</f>
        <v>0</v>
      </c>
      <c r="C189" s="52"/>
      <c r="D189" s="53"/>
      <c r="E189" s="53"/>
      <c r="F189" s="53"/>
      <c r="G189" s="53"/>
    </row>
    <row r="190" spans="1:7">
      <c r="A190">
        <f>IFERROR(IF(B190="",0,IF(VALUE(LEFT(B190,1))&gt;3,VLOOKUP(VALUE(B190),PROYECCIONES!B:D,3,FALSE),0)),1 + COUNTIF($A$2:A189,"&gt;0"))</f>
        <v>0</v>
      </c>
      <c r="C190" s="52"/>
      <c r="D190" s="53"/>
      <c r="E190" s="53"/>
      <c r="F190" s="53"/>
      <c r="G190" s="53"/>
    </row>
    <row r="191" spans="1:7">
      <c r="A191">
        <f>IFERROR(IF(B191="",0,IF(VALUE(LEFT(B191,1))&gt;3,VLOOKUP(VALUE(B191),PROYECCIONES!B:D,3,FALSE),0)),1 + COUNTIF($A$2:A190,"&gt;0"))</f>
        <v>0</v>
      </c>
      <c r="C191" s="52"/>
      <c r="D191" s="53"/>
      <c r="E191" s="53"/>
      <c r="F191" s="53"/>
      <c r="G191" s="53"/>
    </row>
    <row r="192" spans="1:7">
      <c r="A192">
        <f>IFERROR(IF(B192="",0,IF(VALUE(LEFT(B192,1))&gt;3,VLOOKUP(VALUE(B192),PROYECCIONES!B:D,3,FALSE),0)),1 + COUNTIF($A$2:A191,"&gt;0"))</f>
        <v>0</v>
      </c>
      <c r="C192" s="52"/>
      <c r="D192" s="53"/>
      <c r="E192" s="53"/>
      <c r="F192" s="53"/>
      <c r="G192" s="53"/>
    </row>
    <row r="193" spans="1:7">
      <c r="A193">
        <f>IFERROR(IF(B193="",0,IF(VALUE(LEFT(B193,1))&gt;3,VLOOKUP(VALUE(B193),PROYECCIONES!B:D,3,FALSE),0)),1 + COUNTIF($A$2:A192,"&gt;0"))</f>
        <v>0</v>
      </c>
      <c r="C193" s="52"/>
      <c r="D193" s="53"/>
      <c r="E193" s="53"/>
      <c r="F193" s="53"/>
      <c r="G193" s="53"/>
    </row>
    <row r="194" spans="1:7">
      <c r="A194">
        <f>IFERROR(IF(B194="",0,IF(VALUE(LEFT(B194,1))&gt;3,VLOOKUP(VALUE(B194),PROYECCIONES!B:D,3,FALSE),0)),1 + COUNTIF($A$2:A193,"&gt;0"))</f>
        <v>0</v>
      </c>
      <c r="C194" s="52"/>
      <c r="D194" s="53"/>
      <c r="E194" s="53"/>
      <c r="F194" s="53"/>
      <c r="G194" s="53"/>
    </row>
    <row r="195" spans="1:7">
      <c r="A195">
        <f>IFERROR(IF(B195="",0,IF(VALUE(LEFT(B195,1))&gt;3,VLOOKUP(VALUE(B195),PROYECCIONES!B:D,3,FALSE),0)),1 + COUNTIF($A$2:A194,"&gt;0"))</f>
        <v>0</v>
      </c>
      <c r="C195" s="52"/>
      <c r="D195" s="53"/>
      <c r="E195" s="53"/>
      <c r="F195" s="53"/>
      <c r="G195" s="53"/>
    </row>
    <row r="196" spans="1:7">
      <c r="A196">
        <f>IFERROR(IF(B196="",0,IF(VALUE(LEFT(B196,1))&gt;3,VLOOKUP(VALUE(B196),PROYECCIONES!B:D,3,FALSE),0)),1 + COUNTIF($A$2:A195,"&gt;0"))</f>
        <v>0</v>
      </c>
      <c r="C196" s="52"/>
      <c r="D196" s="53"/>
      <c r="E196" s="53"/>
      <c r="F196" s="53"/>
      <c r="G196" s="53"/>
    </row>
    <row r="197" spans="1:7">
      <c r="A197">
        <f>IFERROR(IF(B197="",0,IF(VALUE(LEFT(B197,1))&gt;3,VLOOKUP(VALUE(B197),PROYECCIONES!B:D,3,FALSE),0)),1 + COUNTIF($A$2:A196,"&gt;0"))</f>
        <v>0</v>
      </c>
      <c r="C197" s="52"/>
      <c r="D197" s="53"/>
      <c r="E197" s="53"/>
      <c r="F197" s="53"/>
      <c r="G197" s="53"/>
    </row>
    <row r="198" spans="1:7">
      <c r="A198">
        <f>IFERROR(IF(B198="",0,IF(VALUE(LEFT(B198,1))&gt;3,VLOOKUP(VALUE(B198),PROYECCIONES!B:D,3,FALSE),0)),1 + COUNTIF($A$2:A197,"&gt;0"))</f>
        <v>0</v>
      </c>
      <c r="C198" s="52"/>
      <c r="D198" s="53"/>
      <c r="E198" s="53"/>
      <c r="F198" s="53"/>
      <c r="G198" s="53"/>
    </row>
    <row r="199" spans="1:7">
      <c r="A199">
        <f>IFERROR(IF(B199="",0,IF(VALUE(LEFT(B199,1))&gt;3,VLOOKUP(VALUE(B199),PROYECCIONES!B:D,3,FALSE),0)),1 + COUNTIF($A$2:A198,"&gt;0"))</f>
        <v>0</v>
      </c>
      <c r="C199" s="52"/>
      <c r="D199" s="53"/>
      <c r="E199" s="53"/>
      <c r="F199" s="53"/>
      <c r="G199" s="53"/>
    </row>
    <row r="200" spans="1:7">
      <c r="A200">
        <f>IFERROR(IF(B200="",0,IF(VALUE(LEFT(B200,1))&gt;3,VLOOKUP(VALUE(B200),PROYECCIONES!B:D,3,FALSE),0)),1 + COUNTIF($A$2:A199,"&gt;0"))</f>
        <v>0</v>
      </c>
      <c r="C200" s="52"/>
      <c r="D200" s="53"/>
      <c r="E200" s="53"/>
      <c r="F200" s="53"/>
      <c r="G200" s="53"/>
    </row>
    <row r="201" spans="1:7">
      <c r="A201">
        <f>IFERROR(IF(B201="",0,IF(VALUE(LEFT(B201,1))&gt;3,VLOOKUP(VALUE(B201),PROYECCIONES!B:D,3,FALSE),0)),1 + COUNTIF($A$2:A200,"&gt;0"))</f>
        <v>0</v>
      </c>
      <c r="C201" s="52"/>
      <c r="D201" s="53"/>
      <c r="E201" s="53"/>
      <c r="F201" s="53"/>
      <c r="G201" s="53"/>
    </row>
    <row r="202" spans="1:7">
      <c r="A202">
        <f>IFERROR(IF(B202="",0,IF(VALUE(LEFT(B202,1))&gt;3,VLOOKUP(VALUE(B202),PROYECCIONES!B:D,3,FALSE),0)),1 + COUNTIF($A$2:A201,"&gt;0"))</f>
        <v>0</v>
      </c>
      <c r="C202" s="52"/>
      <c r="D202" s="53"/>
      <c r="E202" s="53"/>
      <c r="F202" s="53"/>
      <c r="G202" s="53"/>
    </row>
    <row r="203" spans="1:7">
      <c r="A203">
        <f>IFERROR(IF(B203="",0,IF(VALUE(LEFT(B203,1))&gt;3,VLOOKUP(VALUE(B203),PROYECCIONES!B:D,3,FALSE),0)),1 + COUNTIF($A$2:A202,"&gt;0"))</f>
        <v>0</v>
      </c>
      <c r="C203" s="52"/>
      <c r="D203" s="53"/>
      <c r="E203" s="53"/>
      <c r="F203" s="53"/>
      <c r="G203" s="53"/>
    </row>
    <row r="204" spans="1:7">
      <c r="A204">
        <f>IFERROR(IF(B204="",0,IF(VALUE(LEFT(B204,1))&gt;3,VLOOKUP(VALUE(B204),PROYECCIONES!B:D,3,FALSE),0)),1 + COUNTIF($A$2:A203,"&gt;0"))</f>
        <v>0</v>
      </c>
      <c r="C204" s="52"/>
      <c r="D204" s="53"/>
      <c r="E204" s="53"/>
      <c r="F204" s="53"/>
      <c r="G204" s="53"/>
    </row>
    <row r="205" spans="1:7">
      <c r="A205">
        <f>IFERROR(IF(B205="",0,IF(VALUE(LEFT(B205,1))&gt;3,VLOOKUP(VALUE(B205),PROYECCIONES!B:D,3,FALSE),0)),1 + COUNTIF($A$2:A204,"&gt;0"))</f>
        <v>0</v>
      </c>
      <c r="C205" s="52"/>
      <c r="D205" s="53"/>
      <c r="E205" s="53"/>
      <c r="F205" s="53"/>
      <c r="G205" s="53"/>
    </row>
    <row r="206" spans="1:7">
      <c r="A206">
        <f>IFERROR(IF(B206="",0,IF(VALUE(LEFT(B206,1))&gt;3,VLOOKUP(VALUE(B206),PROYECCIONES!B:D,3,FALSE),0)),1 + COUNTIF($A$2:A205,"&gt;0"))</f>
        <v>0</v>
      </c>
      <c r="C206" s="52"/>
      <c r="D206" s="53"/>
      <c r="E206" s="53"/>
      <c r="F206" s="53"/>
      <c r="G206" s="53"/>
    </row>
    <row r="207" spans="1:7">
      <c r="A207">
        <f>IFERROR(IF(B207="",0,IF(VALUE(LEFT(B207,1))&gt;3,VLOOKUP(VALUE(B207),PROYECCIONES!B:D,3,FALSE),0)),1 + COUNTIF($A$2:A206,"&gt;0"))</f>
        <v>0</v>
      </c>
      <c r="C207" s="52"/>
      <c r="D207" s="53"/>
      <c r="E207" s="53"/>
      <c r="F207" s="53"/>
      <c r="G207" s="53"/>
    </row>
    <row r="208" spans="1:7">
      <c r="A208">
        <f>IFERROR(IF(B208="",0,IF(VALUE(LEFT(B208,1))&gt;3,VLOOKUP(VALUE(B208),PROYECCIONES!B:D,3,FALSE),0)),1 + COUNTIF($A$2:A207,"&gt;0"))</f>
        <v>0</v>
      </c>
      <c r="C208" s="52"/>
      <c r="D208" s="53"/>
      <c r="E208" s="53"/>
      <c r="F208" s="53"/>
      <c r="G208" s="53"/>
    </row>
    <row r="209" spans="1:7">
      <c r="A209">
        <f>IFERROR(IF(B209="",0,IF(VALUE(LEFT(B209,1))&gt;3,VLOOKUP(VALUE(B209),PROYECCIONES!B:D,3,FALSE),0)),1 + COUNTIF($A$2:A208,"&gt;0"))</f>
        <v>0</v>
      </c>
      <c r="C209" s="52"/>
      <c r="D209" s="53"/>
      <c r="E209" s="53"/>
      <c r="F209" s="53"/>
      <c r="G209" s="53"/>
    </row>
    <row r="210" spans="1:7">
      <c r="A210">
        <f>IFERROR(IF(B210="",0,IF(VALUE(LEFT(B210,1))&gt;3,VLOOKUP(VALUE(B210),PROYECCIONES!B:D,3,FALSE),0)),1 + COUNTIF($A$2:A209,"&gt;0"))</f>
        <v>0</v>
      </c>
      <c r="C210" s="52"/>
      <c r="D210" s="53"/>
      <c r="E210" s="53"/>
      <c r="F210" s="53"/>
      <c r="G210" s="53"/>
    </row>
    <row r="211" spans="1:7">
      <c r="A211">
        <f>IFERROR(IF(B211="",0,IF(VALUE(LEFT(B211,1))&gt;3,VLOOKUP(VALUE(B211),PROYECCIONES!B:D,3,FALSE),0)),1 + COUNTIF($A$2:A210,"&gt;0"))</f>
        <v>0</v>
      </c>
      <c r="C211" s="52"/>
      <c r="D211" s="53"/>
      <c r="E211" s="53"/>
      <c r="F211" s="53"/>
      <c r="G211" s="53"/>
    </row>
    <row r="212" spans="1:7">
      <c r="A212">
        <f>IFERROR(IF(B212="",0,IF(VALUE(LEFT(B212,1))&gt;3,VLOOKUP(VALUE(B212),PROYECCIONES!B:D,3,FALSE),0)),1 + COUNTIF($A$2:A211,"&gt;0"))</f>
        <v>0</v>
      </c>
      <c r="C212" s="52"/>
      <c r="D212" s="53"/>
      <c r="E212" s="53"/>
      <c r="F212" s="53"/>
      <c r="G212" s="53"/>
    </row>
    <row r="213" spans="1:7">
      <c r="A213">
        <f>IFERROR(IF(B213="",0,IF(VALUE(LEFT(B213,1))&gt;3,VLOOKUP(VALUE(B213),PROYECCIONES!B:D,3,FALSE),0)),1 + COUNTIF($A$2:A212,"&gt;0"))</f>
        <v>0</v>
      </c>
    </row>
    <row r="214" spans="1:7">
      <c r="A214">
        <f>IFERROR(IF(B214="",0,IF(VALUE(LEFT(B214,1))&gt;3,VLOOKUP(VALUE(B214),PROYECCIONES!B:D,3,FALSE),0)),1 + COUNTIF($A$2:A213,"&gt;0"))</f>
        <v>0</v>
      </c>
    </row>
    <row r="215" spans="1:7">
      <c r="A215">
        <f>IFERROR(IF(B215="",0,IF(VALUE(LEFT(B215,1))&gt;3,VLOOKUP(VALUE(B215),PROYECCIONES!B:D,3,FALSE),0)),1 + COUNTIF($A$2:A214,"&gt;0"))</f>
        <v>0</v>
      </c>
    </row>
    <row r="216" spans="1:7">
      <c r="A216">
        <f>IFERROR(IF(B216="",0,IF(VALUE(LEFT(B216,1))&gt;3,VLOOKUP(VALUE(B216),PROYECCIONES!B:D,3,FALSE),0)),1 + COUNTIF($A$2:A215,"&gt;0"))</f>
        <v>0</v>
      </c>
    </row>
    <row r="217" spans="1:7">
      <c r="A217">
        <f>IFERROR(IF(B217="",0,IF(VALUE(LEFT(B217,1))&gt;3,VLOOKUP(VALUE(B217),PROYECCIONES!B:D,3,FALSE),0)),1 + COUNTIF($A$2:A216,"&gt;0"))</f>
        <v>0</v>
      </c>
    </row>
    <row r="218" spans="1:7">
      <c r="A218">
        <f>IFERROR(IF(B218="",0,IF(VALUE(LEFT(B218,1))&gt;3,VLOOKUP(VALUE(B218),PROYECCIONES!B:D,3,FALSE),0)),1 + COUNTIF($A$2:A217,"&gt;0"))</f>
        <v>0</v>
      </c>
    </row>
    <row r="219" spans="1:7">
      <c r="A219">
        <f>IFERROR(IF(B219="",0,IF(VALUE(LEFT(B219,1))&gt;3,VLOOKUP(VALUE(B219),PROYECCIONES!B:D,3,FALSE),0)),1 + COUNTIF($A$2:A218,"&gt;0"))</f>
        <v>0</v>
      </c>
    </row>
    <row r="220" spans="1:7">
      <c r="A220">
        <f>IFERROR(IF(B220="",0,IF(VALUE(LEFT(B220,1))&gt;3,VLOOKUP(VALUE(B220),PROYECCIONES!B:D,3,FALSE),0)),1 + COUNTIF($A$2:A219,"&gt;0"))</f>
        <v>0</v>
      </c>
    </row>
    <row r="221" spans="1:7">
      <c r="A221">
        <f>IFERROR(IF(B221="",0,IF(VALUE(LEFT(B221,1))&gt;3,VLOOKUP(VALUE(B221),PROYECCIONES!B:D,3,FALSE),0)),1 + COUNTIF($A$2:A220,"&gt;0"))</f>
        <v>0</v>
      </c>
    </row>
    <row r="222" spans="1:7">
      <c r="A222">
        <f>IFERROR(IF(B222="",0,IF(VALUE(LEFT(B222,1))&gt;3,VLOOKUP(VALUE(B222),PROYECCIONES!B:D,3,FALSE),0)),1 + COUNTIF($A$2:A221,"&gt;0"))</f>
        <v>0</v>
      </c>
    </row>
    <row r="223" spans="1:7">
      <c r="A223">
        <f>IFERROR(IF(B223="",0,IF(VALUE(LEFT(B223,1))&gt;3,VLOOKUP(VALUE(B223),PROYECCIONES!B:D,3,FALSE),0)),1 + COUNTIF($A$2:A222,"&gt;0"))</f>
        <v>0</v>
      </c>
    </row>
    <row r="224" spans="1:7">
      <c r="A224">
        <f>IFERROR(IF(B224="",0,IF(VALUE(LEFT(B224,1))&gt;3,VLOOKUP(VALUE(B224),PROYECCIONES!B:D,3,FALSE),0)),1 + COUNTIF($A$2:A223,"&gt;0"))</f>
        <v>0</v>
      </c>
    </row>
    <row r="225" spans="1:1">
      <c r="A225">
        <f>IFERROR(IF(B225="",0,IF(VALUE(LEFT(B225,1))&gt;3,VLOOKUP(VALUE(B225),PROYECCIONES!B:D,3,FALSE),0)),1 + COUNTIF($A$2:A224,"&gt;0"))</f>
        <v>0</v>
      </c>
    </row>
    <row r="226" spans="1:1">
      <c r="A226">
        <f>IFERROR(IF(B226="",0,IF(VALUE(LEFT(B226,1))&gt;3,VLOOKUP(VALUE(B226),PROYECCIONES!B:D,3,FALSE),0)),1 + COUNTIF($A$2:A225,"&gt;0"))</f>
        <v>0</v>
      </c>
    </row>
    <row r="227" spans="1:1">
      <c r="A227">
        <f>IFERROR(IF(B227="",0,IF(VALUE(LEFT(B227,1))&gt;3,VLOOKUP(VALUE(B227),PROYECCIONES!B:D,3,FALSE),0)),1 + COUNTIF($A$2:A226,"&gt;0"))</f>
        <v>0</v>
      </c>
    </row>
    <row r="228" spans="1:1">
      <c r="A228">
        <f>IFERROR(IF(B228="",0,IF(VALUE(LEFT(B228,1))&gt;3,VLOOKUP(VALUE(B228),PROYECCIONES!B:D,3,FALSE),0)),1 + COUNTIF($A$2:A227,"&gt;0"))</f>
        <v>0</v>
      </c>
    </row>
    <row r="229" spans="1:1">
      <c r="A229">
        <f>IFERROR(IF(B229="",0,IF(VALUE(LEFT(B229,1))&gt;3,VLOOKUP(VALUE(B229),PROYECCIONES!B:D,3,FALSE),0)),1 + COUNTIF($A$2:A228,"&gt;0"))</f>
        <v>0</v>
      </c>
    </row>
    <row r="230" spans="1:1">
      <c r="A230">
        <f>IFERROR(IF(B230="",0,IF(VALUE(LEFT(B230,1))&gt;3,VLOOKUP(VALUE(B230),PROYECCIONES!B:D,3,FALSE),0)),1 + COUNTIF($A$2:A229,"&gt;0"))</f>
        <v>0</v>
      </c>
    </row>
    <row r="231" spans="1:1">
      <c r="A231">
        <f>IFERROR(IF(B231="",0,IF(VALUE(LEFT(B231,1))&gt;3,VLOOKUP(VALUE(B231),PROYECCIONES!B:D,3,FALSE),0)),1 + COUNTIF($A$2:A230,"&gt;0"))</f>
        <v>0</v>
      </c>
    </row>
    <row r="232" spans="1:1">
      <c r="A232">
        <f>IFERROR(IF(B232="",0,IF(VALUE(LEFT(B232,1))&gt;3,VLOOKUP(VALUE(B232),PROYECCIONES!B:D,3,FALSE),0)),1 + COUNTIF($A$2:A231,"&gt;0"))</f>
        <v>0</v>
      </c>
    </row>
    <row r="233" spans="1:1">
      <c r="A233">
        <f>IFERROR(IF(B233="",0,IF(VALUE(LEFT(B233,1))&gt;3,VLOOKUP(VALUE(B233),PROYECCIONES!B:D,3,FALSE),0)),1 + COUNTIF($A$2:A232,"&gt;0"))</f>
        <v>0</v>
      </c>
    </row>
    <row r="234" spans="1:1">
      <c r="A234">
        <f>IFERROR(IF(B234="",0,IF(VALUE(LEFT(B234,1))&gt;3,VLOOKUP(VALUE(B234),PROYECCIONES!B:D,3,FALSE),0)),1 + COUNTIF($A$2:A233,"&gt;0"))</f>
        <v>0</v>
      </c>
    </row>
    <row r="235" spans="1:1">
      <c r="A235">
        <f>IFERROR(IF(B235="",0,IF(VALUE(LEFT(B235,1))&gt;3,VLOOKUP(VALUE(B235),PROYECCIONES!B:D,3,FALSE),0)),1 + COUNTIF($A$2:A234,"&gt;0"))</f>
        <v>0</v>
      </c>
    </row>
    <row r="236" spans="1:1">
      <c r="A236">
        <f>IFERROR(IF(B236="",0,IF(VALUE(LEFT(B236,1))&gt;3,VLOOKUP(VALUE(B236),PROYECCIONES!B:D,3,FALSE),0)),1 + COUNTIF($A$2:A235,"&gt;0"))</f>
        <v>0</v>
      </c>
    </row>
    <row r="237" spans="1:1">
      <c r="A237">
        <f>IFERROR(IF(B237="",0,IF(VALUE(LEFT(B237,1))&gt;3,VLOOKUP(VALUE(B237),PROYECCIONES!B:D,3,FALSE),0)),1 + COUNTIF($A$2:A236,"&gt;0"))</f>
        <v>0</v>
      </c>
    </row>
    <row r="238" spans="1:1">
      <c r="A238">
        <f>IFERROR(IF(B238="",0,IF(VALUE(LEFT(B238,1))&gt;3,VLOOKUP(VALUE(B238),PROYECCIONES!B:D,3,FALSE),0)),1 + COUNTIF($A$2:A237,"&gt;0"))</f>
        <v>0</v>
      </c>
    </row>
    <row r="239" spans="1:1">
      <c r="A239">
        <f>IFERROR(IF(B239="",0,IF(VALUE(LEFT(B239,1))&gt;3,VLOOKUP(VALUE(B239),PROYECCIONES!B:D,3,FALSE),0)),1 + COUNTIF($A$2:A238,"&gt;0"))</f>
        <v>0</v>
      </c>
    </row>
    <row r="240" spans="1:1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mergeCells count="4">
    <mergeCell ref="D1:D2"/>
    <mergeCell ref="E1:F1"/>
    <mergeCell ref="G1:G2"/>
    <mergeCell ref="B1:C1"/>
  </mergeCells>
  <conditionalFormatting sqref="B213:B1048576">
    <cfRule type="expression" dxfId="0" priority="1">
      <formula>$A213="No Agregada"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6C33F-28E6-423F-8A7C-2062B763B4C6}">
  <sheetPr codeName="Hoja3"/>
  <dimension ref="A1:M23"/>
  <sheetViews>
    <sheetView workbookViewId="0">
      <selection activeCell="A23" sqref="A23"/>
    </sheetView>
  </sheetViews>
  <sheetFormatPr baseColWidth="10" defaultRowHeight="15"/>
  <cols>
    <col min="1" max="1" width="28.7109375" customWidth="1"/>
  </cols>
  <sheetData>
    <row r="1" spans="1:13">
      <c r="B1" t="s">
        <v>434</v>
      </c>
      <c r="C1" t="s">
        <v>222</v>
      </c>
      <c r="D1" t="s">
        <v>221</v>
      </c>
      <c r="E1" t="s">
        <v>220</v>
      </c>
      <c r="F1" t="s">
        <v>219</v>
      </c>
      <c r="G1" t="s">
        <v>218</v>
      </c>
      <c r="H1" t="s">
        <v>217</v>
      </c>
      <c r="I1" t="s">
        <v>209</v>
      </c>
      <c r="J1" t="s">
        <v>216</v>
      </c>
      <c r="K1" t="s">
        <v>215</v>
      </c>
      <c r="L1" t="s">
        <v>214</v>
      </c>
      <c r="M1" t="s">
        <v>213</v>
      </c>
    </row>
    <row r="2" spans="1:13">
      <c r="A2" t="s">
        <v>103</v>
      </c>
    </row>
    <row r="3" spans="1:13">
      <c r="A3" t="s">
        <v>125</v>
      </c>
    </row>
    <row r="4" spans="1:13">
      <c r="A4" t="s">
        <v>131</v>
      </c>
    </row>
    <row r="5" spans="1:13">
      <c r="A5" t="s">
        <v>132</v>
      </c>
    </row>
    <row r="6" spans="1:13">
      <c r="A6" t="s">
        <v>133</v>
      </c>
    </row>
    <row r="7" spans="1:13">
      <c r="A7" t="s">
        <v>188</v>
      </c>
    </row>
    <row r="8" spans="1:13">
      <c r="A8" t="s">
        <v>141</v>
      </c>
    </row>
    <row r="9" spans="1:13">
      <c r="A9" t="s">
        <v>142</v>
      </c>
    </row>
    <row r="10" spans="1:13">
      <c r="A10" t="s">
        <v>201</v>
      </c>
    </row>
    <row r="11" spans="1:13">
      <c r="A11" t="s">
        <v>202</v>
      </c>
    </row>
    <row r="12" spans="1:13">
      <c r="A12" t="s">
        <v>154</v>
      </c>
    </row>
    <row r="13" spans="1:13">
      <c r="A13" t="s">
        <v>568</v>
      </c>
    </row>
    <row r="14" spans="1:13">
      <c r="A14" t="s">
        <v>155</v>
      </c>
    </row>
    <row r="15" spans="1:13">
      <c r="A15" t="s">
        <v>156</v>
      </c>
    </row>
    <row r="16" spans="1:13">
      <c r="A16" t="s">
        <v>157</v>
      </c>
    </row>
    <row r="17" spans="1:1">
      <c r="A17" t="s">
        <v>158</v>
      </c>
    </row>
    <row r="18" spans="1:1">
      <c r="A18" t="s">
        <v>409</v>
      </c>
    </row>
    <row r="19" spans="1:1">
      <c r="A19" t="s">
        <v>159</v>
      </c>
    </row>
    <row r="20" spans="1:1">
      <c r="A20" t="s">
        <v>166</v>
      </c>
    </row>
    <row r="21" spans="1:1">
      <c r="A21" t="s">
        <v>106</v>
      </c>
    </row>
    <row r="22" spans="1:1">
      <c r="A22" t="s">
        <v>170</v>
      </c>
    </row>
    <row r="23" spans="1:1">
      <c r="A23" t="s">
        <v>174</v>
      </c>
    </row>
  </sheetData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1B03-6A70-4F16-8081-1877627EEBB4}">
  <sheetPr codeName="Hoja21"/>
  <dimension ref="C4:P20"/>
  <sheetViews>
    <sheetView workbookViewId="0">
      <selection activeCell="A23" sqref="A23"/>
    </sheetView>
  </sheetViews>
  <sheetFormatPr baseColWidth="10" defaultRowHeight="15"/>
  <cols>
    <col min="3" max="3" width="16.85546875" customWidth="1"/>
    <col min="4" max="4" width="11.42578125" style="3"/>
    <col min="6" max="6" width="11.28515625" style="3" bestFit="1" customWidth="1"/>
    <col min="7" max="7" width="10.5703125" style="3" bestFit="1" customWidth="1"/>
    <col min="8" max="8" width="9" bestFit="1" customWidth="1"/>
    <col min="9" max="9" width="10.5703125" bestFit="1" customWidth="1"/>
    <col min="10" max="10" width="14.7109375" bestFit="1" customWidth="1"/>
    <col min="12" max="12" width="11.42578125" style="3"/>
    <col min="13" max="13" width="8" style="3" bestFit="1" customWidth="1"/>
  </cols>
  <sheetData>
    <row r="4" spans="3:16">
      <c r="C4" s="1" t="s">
        <v>486</v>
      </c>
      <c r="F4" s="3" t="s">
        <v>487</v>
      </c>
      <c r="G4" s="3" t="s">
        <v>488</v>
      </c>
      <c r="H4" t="s">
        <v>489</v>
      </c>
      <c r="I4" s="3" t="s">
        <v>490</v>
      </c>
      <c r="J4" s="3" t="s">
        <v>491</v>
      </c>
      <c r="K4" s="3" t="s">
        <v>492</v>
      </c>
      <c r="L4" s="3" t="s">
        <v>493</v>
      </c>
      <c r="N4" s="3" t="s">
        <v>494</v>
      </c>
      <c r="O4" s="3" t="s">
        <v>515</v>
      </c>
      <c r="P4" s="3" t="s">
        <v>516</v>
      </c>
    </row>
    <row r="5" spans="3:16">
      <c r="C5" t="s">
        <v>495</v>
      </c>
      <c r="D5" s="3">
        <v>1600000</v>
      </c>
      <c r="E5" t="s">
        <v>496</v>
      </c>
      <c r="F5" s="3">
        <v>1690000</v>
      </c>
      <c r="H5" s="3">
        <v>117172</v>
      </c>
      <c r="I5" s="7">
        <f>+F5</f>
        <v>1690000</v>
      </c>
      <c r="J5" s="3">
        <f>+I5/12</f>
        <v>140833.33333333334</v>
      </c>
      <c r="K5" s="3">
        <f>+D5/2</f>
        <v>800000</v>
      </c>
      <c r="L5" s="3">
        <f>+K5/6</f>
        <v>133333.33333333334</v>
      </c>
      <c r="N5" s="3">
        <v>200000</v>
      </c>
      <c r="O5" s="7">
        <f>D5/2</f>
        <v>800000</v>
      </c>
      <c r="P5" s="7">
        <f>O5/12</f>
        <v>66666.666666666672</v>
      </c>
    </row>
    <row r="6" spans="3:16">
      <c r="C6" t="s">
        <v>497</v>
      </c>
      <c r="D6" s="3">
        <v>1600000</v>
      </c>
      <c r="E6" t="s">
        <v>498</v>
      </c>
      <c r="F6" s="3">
        <v>1690000</v>
      </c>
      <c r="H6" s="3">
        <v>117172</v>
      </c>
      <c r="I6" s="7">
        <f>+F6</f>
        <v>1690000</v>
      </c>
      <c r="J6" s="3">
        <f t="shared" ref="J6:J10" si="0">+I6/12</f>
        <v>140833.33333333334</v>
      </c>
      <c r="K6" s="3">
        <f t="shared" ref="K6:K10" si="1">+D6/2</f>
        <v>800000</v>
      </c>
      <c r="L6" s="3">
        <f t="shared" ref="L6:L10" si="2">+K6/6</f>
        <v>133333.33333333334</v>
      </c>
      <c r="N6" s="3">
        <v>200000</v>
      </c>
      <c r="O6" s="7">
        <f t="shared" ref="O6:O11" si="3">D6/2</f>
        <v>800000</v>
      </c>
      <c r="P6" s="7">
        <f t="shared" ref="P6:P11" si="4">O6/12</f>
        <v>66666.666666666672</v>
      </c>
    </row>
    <row r="7" spans="3:16">
      <c r="C7" t="s">
        <v>499</v>
      </c>
      <c r="D7" s="3">
        <f>1100000</f>
        <v>1100000</v>
      </c>
      <c r="E7" t="s">
        <v>496</v>
      </c>
      <c r="F7" s="3">
        <v>1250000</v>
      </c>
      <c r="G7" s="3">
        <v>600000</v>
      </c>
      <c r="H7" s="3">
        <v>117172</v>
      </c>
      <c r="I7" s="7">
        <f>+F7</f>
        <v>1250000</v>
      </c>
      <c r="J7" s="3">
        <f t="shared" si="0"/>
        <v>104166.66666666667</v>
      </c>
      <c r="K7" s="3">
        <f t="shared" si="1"/>
        <v>550000</v>
      </c>
      <c r="L7" s="3">
        <f t="shared" si="2"/>
        <v>91666.666666666672</v>
      </c>
      <c r="N7" s="3">
        <v>200000</v>
      </c>
      <c r="O7" s="7">
        <f t="shared" si="3"/>
        <v>550000</v>
      </c>
      <c r="P7" s="7">
        <f t="shared" si="4"/>
        <v>45833.333333333336</v>
      </c>
    </row>
    <row r="8" spans="3:16">
      <c r="C8" t="s">
        <v>500</v>
      </c>
      <c r="D8" s="3">
        <v>1000000</v>
      </c>
      <c r="E8" t="s">
        <v>501</v>
      </c>
      <c r="H8" s="3">
        <v>117172</v>
      </c>
      <c r="I8" s="7">
        <f>+D8-84000</f>
        <v>916000</v>
      </c>
      <c r="J8" s="3">
        <f>+I8/11</f>
        <v>83272.727272727279</v>
      </c>
      <c r="K8" s="3">
        <f>500000</f>
        <v>500000</v>
      </c>
      <c r="L8" s="3">
        <v>69500</v>
      </c>
      <c r="M8" s="3">
        <f>+K8/6</f>
        <v>83333.333333333328</v>
      </c>
      <c r="N8" s="3">
        <v>200000</v>
      </c>
      <c r="O8" s="7">
        <f t="shared" si="3"/>
        <v>500000</v>
      </c>
      <c r="P8" s="7">
        <f t="shared" si="4"/>
        <v>41666.666666666664</v>
      </c>
    </row>
    <row r="9" spans="3:16">
      <c r="C9" t="s">
        <v>502</v>
      </c>
      <c r="D9" s="3">
        <v>4600000</v>
      </c>
      <c r="G9" s="3">
        <v>1800000</v>
      </c>
      <c r="I9" s="7">
        <f>+D9</f>
        <v>4600000</v>
      </c>
      <c r="J9" s="3">
        <f t="shared" si="0"/>
        <v>383333.33333333331</v>
      </c>
      <c r="K9" s="3">
        <f t="shared" si="1"/>
        <v>2300000</v>
      </c>
      <c r="L9" s="3">
        <f t="shared" si="2"/>
        <v>383333.33333333331</v>
      </c>
      <c r="N9" s="3">
        <v>200000</v>
      </c>
      <c r="O9" s="7">
        <f t="shared" si="3"/>
        <v>2300000</v>
      </c>
      <c r="P9" s="7">
        <f t="shared" si="4"/>
        <v>191666.66666666666</v>
      </c>
    </row>
    <row r="10" spans="3:16">
      <c r="C10" t="s">
        <v>503</v>
      </c>
      <c r="D10" s="3">
        <v>4600000</v>
      </c>
      <c r="G10" s="3">
        <v>1800000</v>
      </c>
      <c r="I10" s="7">
        <f>+D10</f>
        <v>4600000</v>
      </c>
      <c r="J10" s="3">
        <f t="shared" si="0"/>
        <v>383333.33333333331</v>
      </c>
      <c r="K10" s="3">
        <f t="shared" si="1"/>
        <v>2300000</v>
      </c>
      <c r="L10" s="3">
        <f t="shared" si="2"/>
        <v>383333.33333333331</v>
      </c>
      <c r="N10" s="3">
        <v>200000</v>
      </c>
      <c r="O10" s="7">
        <f t="shared" si="3"/>
        <v>2300000</v>
      </c>
      <c r="P10" s="7">
        <f t="shared" si="4"/>
        <v>191666.66666666666</v>
      </c>
    </row>
    <row r="11" spans="3:16">
      <c r="C11" t="s">
        <v>514</v>
      </c>
      <c r="D11" s="3">
        <v>1000000</v>
      </c>
      <c r="H11" s="3">
        <v>117172</v>
      </c>
      <c r="I11" s="7">
        <f>+D11-84000</f>
        <v>916000</v>
      </c>
      <c r="J11" s="3">
        <f>+I11/11</f>
        <v>83272.727272727279</v>
      </c>
      <c r="K11" s="3">
        <f>500000</f>
        <v>500000</v>
      </c>
      <c r="L11" s="3">
        <v>69500</v>
      </c>
      <c r="M11" s="3">
        <f>+K11/6</f>
        <v>83333.333333333328</v>
      </c>
      <c r="N11" s="3"/>
      <c r="O11" s="7">
        <f t="shared" si="3"/>
        <v>500000</v>
      </c>
      <c r="P11" s="7">
        <f t="shared" si="4"/>
        <v>41666.666666666664</v>
      </c>
    </row>
    <row r="12" spans="3:16">
      <c r="C12" s="1" t="s">
        <v>504</v>
      </c>
      <c r="D12" s="3">
        <v>150000</v>
      </c>
    </row>
    <row r="13" spans="3:16">
      <c r="C13" s="1" t="s">
        <v>505</v>
      </c>
      <c r="D13" s="3">
        <v>200000</v>
      </c>
      <c r="E13" t="s">
        <v>506</v>
      </c>
    </row>
    <row r="14" spans="3:16">
      <c r="C14" s="1" t="s">
        <v>507</v>
      </c>
      <c r="D14" s="3">
        <v>300000</v>
      </c>
    </row>
    <row r="15" spans="3:16">
      <c r="C15" s="1" t="s">
        <v>508</v>
      </c>
      <c r="D15" s="3">
        <v>170000</v>
      </c>
    </row>
    <row r="16" spans="3:16">
      <c r="C16" s="1" t="s">
        <v>509</v>
      </c>
      <c r="D16" s="3">
        <v>1000000</v>
      </c>
    </row>
    <row r="17" spans="3:5">
      <c r="C17" s="1" t="s">
        <v>510</v>
      </c>
      <c r="D17" s="3">
        <v>400000</v>
      </c>
      <c r="E17" t="s">
        <v>511</v>
      </c>
    </row>
    <row r="18" spans="3:5">
      <c r="C18" s="1" t="s">
        <v>512</v>
      </c>
      <c r="D18" s="3">
        <v>800000</v>
      </c>
    </row>
    <row r="19" spans="3:5">
      <c r="C19" s="1" t="s">
        <v>513</v>
      </c>
      <c r="D19" s="3">
        <v>2000000</v>
      </c>
    </row>
    <row r="20" spans="3:5">
      <c r="C20" s="1" t="s">
        <v>517</v>
      </c>
      <c r="D20" s="3">
        <f ca="1">PROYECCIONES!CG4*1%</f>
        <v>8042129.9854888897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</sheetPr>
  <dimension ref="A1:V140"/>
  <sheetViews>
    <sheetView zoomScale="90" zoomScaleNormal="90" workbookViewId="0">
      <pane xSplit="2" ySplit="5" topLeftCell="C63" activePane="bottomRight" state="frozen"/>
      <selection pane="topRight" activeCell="C1" sqref="C1"/>
      <selection pane="bottomLeft" activeCell="A8" sqref="A8"/>
      <selection pane="bottomRight" activeCell="F5" sqref="F5"/>
    </sheetView>
  </sheetViews>
  <sheetFormatPr baseColWidth="10" defaultColWidth="9.140625" defaultRowHeight="12.75"/>
  <cols>
    <col min="1" max="1" width="7" style="8" customWidth="1"/>
    <col min="2" max="2" width="39.28515625" style="22" customWidth="1"/>
    <col min="3" max="3" width="19.7109375" style="8" customWidth="1"/>
    <col min="4" max="4" width="16.85546875" style="8" customWidth="1"/>
    <col min="5" max="9" width="19.5703125" style="8" customWidth="1"/>
    <col min="10" max="10" width="19" style="8" customWidth="1"/>
    <col min="11" max="13" width="19.5703125" style="8" customWidth="1"/>
    <col min="14" max="14" width="21.28515625" style="8" customWidth="1"/>
    <col min="15" max="15" width="25" style="8" bestFit="1" customWidth="1"/>
    <col min="16" max="16" width="17.5703125" style="218" bestFit="1" customWidth="1"/>
    <col min="17" max="17" width="13.7109375" style="8" customWidth="1"/>
    <col min="18" max="18" width="13.5703125" style="8" bestFit="1" customWidth="1"/>
    <col min="19" max="19" width="12.5703125" style="8" bestFit="1" customWidth="1"/>
    <col min="20" max="21" width="9.140625" style="8"/>
    <col min="22" max="22" width="15.140625" style="8" bestFit="1" customWidth="1"/>
    <col min="23" max="258" width="9.140625" style="8"/>
    <col min="259" max="259" width="2.5703125" style="8" customWidth="1"/>
    <col min="260" max="260" width="74.5703125" style="8" customWidth="1"/>
    <col min="261" max="261" width="19.5703125" style="8" customWidth="1"/>
    <col min="262" max="262" width="3" style="8" customWidth="1"/>
    <col min="263" max="263" width="14.7109375" style="8" customWidth="1"/>
    <col min="264" max="264" width="14.42578125" style="8" bestFit="1" customWidth="1"/>
    <col min="265" max="265" width="12.85546875" style="8" bestFit="1" customWidth="1"/>
    <col min="266" max="514" width="9.140625" style="8"/>
    <col min="515" max="515" width="2.5703125" style="8" customWidth="1"/>
    <col min="516" max="516" width="74.5703125" style="8" customWidth="1"/>
    <col min="517" max="517" width="19.5703125" style="8" customWidth="1"/>
    <col min="518" max="518" width="3" style="8" customWidth="1"/>
    <col min="519" max="519" width="14.7109375" style="8" customWidth="1"/>
    <col min="520" max="520" width="14.42578125" style="8" bestFit="1" customWidth="1"/>
    <col min="521" max="521" width="12.85546875" style="8" bestFit="1" customWidth="1"/>
    <col min="522" max="770" width="9.140625" style="8"/>
    <col min="771" max="771" width="2.5703125" style="8" customWidth="1"/>
    <col min="772" max="772" width="74.5703125" style="8" customWidth="1"/>
    <col min="773" max="773" width="19.5703125" style="8" customWidth="1"/>
    <col min="774" max="774" width="3" style="8" customWidth="1"/>
    <col min="775" max="775" width="14.7109375" style="8" customWidth="1"/>
    <col min="776" max="776" width="14.42578125" style="8" bestFit="1" customWidth="1"/>
    <col min="777" max="777" width="12.85546875" style="8" bestFit="1" customWidth="1"/>
    <col min="778" max="1026" width="9.140625" style="8"/>
    <col min="1027" max="1027" width="2.5703125" style="8" customWidth="1"/>
    <col min="1028" max="1028" width="74.5703125" style="8" customWidth="1"/>
    <col min="1029" max="1029" width="19.5703125" style="8" customWidth="1"/>
    <col min="1030" max="1030" width="3" style="8" customWidth="1"/>
    <col min="1031" max="1031" width="14.7109375" style="8" customWidth="1"/>
    <col min="1032" max="1032" width="14.42578125" style="8" bestFit="1" customWidth="1"/>
    <col min="1033" max="1033" width="12.85546875" style="8" bestFit="1" customWidth="1"/>
    <col min="1034" max="1282" width="9.140625" style="8"/>
    <col min="1283" max="1283" width="2.5703125" style="8" customWidth="1"/>
    <col min="1284" max="1284" width="74.5703125" style="8" customWidth="1"/>
    <col min="1285" max="1285" width="19.5703125" style="8" customWidth="1"/>
    <col min="1286" max="1286" width="3" style="8" customWidth="1"/>
    <col min="1287" max="1287" width="14.7109375" style="8" customWidth="1"/>
    <col min="1288" max="1288" width="14.42578125" style="8" bestFit="1" customWidth="1"/>
    <col min="1289" max="1289" width="12.85546875" style="8" bestFit="1" customWidth="1"/>
    <col min="1290" max="1538" width="9.140625" style="8"/>
    <col min="1539" max="1539" width="2.5703125" style="8" customWidth="1"/>
    <col min="1540" max="1540" width="74.5703125" style="8" customWidth="1"/>
    <col min="1541" max="1541" width="19.5703125" style="8" customWidth="1"/>
    <col min="1542" max="1542" width="3" style="8" customWidth="1"/>
    <col min="1543" max="1543" width="14.7109375" style="8" customWidth="1"/>
    <col min="1544" max="1544" width="14.42578125" style="8" bestFit="1" customWidth="1"/>
    <col min="1545" max="1545" width="12.85546875" style="8" bestFit="1" customWidth="1"/>
    <col min="1546" max="1794" width="9.140625" style="8"/>
    <col min="1795" max="1795" width="2.5703125" style="8" customWidth="1"/>
    <col min="1796" max="1796" width="74.5703125" style="8" customWidth="1"/>
    <col min="1797" max="1797" width="19.5703125" style="8" customWidth="1"/>
    <col min="1798" max="1798" width="3" style="8" customWidth="1"/>
    <col min="1799" max="1799" width="14.7109375" style="8" customWidth="1"/>
    <col min="1800" max="1800" width="14.42578125" style="8" bestFit="1" customWidth="1"/>
    <col min="1801" max="1801" width="12.85546875" style="8" bestFit="1" customWidth="1"/>
    <col min="1802" max="2050" width="9.140625" style="8"/>
    <col min="2051" max="2051" width="2.5703125" style="8" customWidth="1"/>
    <col min="2052" max="2052" width="74.5703125" style="8" customWidth="1"/>
    <col min="2053" max="2053" width="19.5703125" style="8" customWidth="1"/>
    <col min="2054" max="2054" width="3" style="8" customWidth="1"/>
    <col min="2055" max="2055" width="14.7109375" style="8" customWidth="1"/>
    <col min="2056" max="2056" width="14.42578125" style="8" bestFit="1" customWidth="1"/>
    <col min="2057" max="2057" width="12.85546875" style="8" bestFit="1" customWidth="1"/>
    <col min="2058" max="2306" width="9.140625" style="8"/>
    <col min="2307" max="2307" width="2.5703125" style="8" customWidth="1"/>
    <col min="2308" max="2308" width="74.5703125" style="8" customWidth="1"/>
    <col min="2309" max="2309" width="19.5703125" style="8" customWidth="1"/>
    <col min="2310" max="2310" width="3" style="8" customWidth="1"/>
    <col min="2311" max="2311" width="14.7109375" style="8" customWidth="1"/>
    <col min="2312" max="2312" width="14.42578125" style="8" bestFit="1" customWidth="1"/>
    <col min="2313" max="2313" width="12.85546875" style="8" bestFit="1" customWidth="1"/>
    <col min="2314" max="2562" width="9.140625" style="8"/>
    <col min="2563" max="2563" width="2.5703125" style="8" customWidth="1"/>
    <col min="2564" max="2564" width="74.5703125" style="8" customWidth="1"/>
    <col min="2565" max="2565" width="19.5703125" style="8" customWidth="1"/>
    <col min="2566" max="2566" width="3" style="8" customWidth="1"/>
    <col min="2567" max="2567" width="14.7109375" style="8" customWidth="1"/>
    <col min="2568" max="2568" width="14.42578125" style="8" bestFit="1" customWidth="1"/>
    <col min="2569" max="2569" width="12.85546875" style="8" bestFit="1" customWidth="1"/>
    <col min="2570" max="2818" width="9.140625" style="8"/>
    <col min="2819" max="2819" width="2.5703125" style="8" customWidth="1"/>
    <col min="2820" max="2820" width="74.5703125" style="8" customWidth="1"/>
    <col min="2821" max="2821" width="19.5703125" style="8" customWidth="1"/>
    <col min="2822" max="2822" width="3" style="8" customWidth="1"/>
    <col min="2823" max="2823" width="14.7109375" style="8" customWidth="1"/>
    <col min="2824" max="2824" width="14.42578125" style="8" bestFit="1" customWidth="1"/>
    <col min="2825" max="2825" width="12.85546875" style="8" bestFit="1" customWidth="1"/>
    <col min="2826" max="3074" width="9.140625" style="8"/>
    <col min="3075" max="3075" width="2.5703125" style="8" customWidth="1"/>
    <col min="3076" max="3076" width="74.5703125" style="8" customWidth="1"/>
    <col min="3077" max="3077" width="19.5703125" style="8" customWidth="1"/>
    <col min="3078" max="3078" width="3" style="8" customWidth="1"/>
    <col min="3079" max="3079" width="14.7109375" style="8" customWidth="1"/>
    <col min="3080" max="3080" width="14.42578125" style="8" bestFit="1" customWidth="1"/>
    <col min="3081" max="3081" width="12.85546875" style="8" bestFit="1" customWidth="1"/>
    <col min="3082" max="3330" width="9.140625" style="8"/>
    <col min="3331" max="3331" width="2.5703125" style="8" customWidth="1"/>
    <col min="3332" max="3332" width="74.5703125" style="8" customWidth="1"/>
    <col min="3333" max="3333" width="19.5703125" style="8" customWidth="1"/>
    <col min="3334" max="3334" width="3" style="8" customWidth="1"/>
    <col min="3335" max="3335" width="14.7109375" style="8" customWidth="1"/>
    <col min="3336" max="3336" width="14.42578125" style="8" bestFit="1" customWidth="1"/>
    <col min="3337" max="3337" width="12.85546875" style="8" bestFit="1" customWidth="1"/>
    <col min="3338" max="3586" width="9.140625" style="8"/>
    <col min="3587" max="3587" width="2.5703125" style="8" customWidth="1"/>
    <col min="3588" max="3588" width="74.5703125" style="8" customWidth="1"/>
    <col min="3589" max="3589" width="19.5703125" style="8" customWidth="1"/>
    <col min="3590" max="3590" width="3" style="8" customWidth="1"/>
    <col min="3591" max="3591" width="14.7109375" style="8" customWidth="1"/>
    <col min="3592" max="3592" width="14.42578125" style="8" bestFit="1" customWidth="1"/>
    <col min="3593" max="3593" width="12.85546875" style="8" bestFit="1" customWidth="1"/>
    <col min="3594" max="3842" width="9.140625" style="8"/>
    <col min="3843" max="3843" width="2.5703125" style="8" customWidth="1"/>
    <col min="3844" max="3844" width="74.5703125" style="8" customWidth="1"/>
    <col min="3845" max="3845" width="19.5703125" style="8" customWidth="1"/>
    <col min="3846" max="3846" width="3" style="8" customWidth="1"/>
    <col min="3847" max="3847" width="14.7109375" style="8" customWidth="1"/>
    <col min="3848" max="3848" width="14.42578125" style="8" bestFit="1" customWidth="1"/>
    <col min="3849" max="3849" width="12.85546875" style="8" bestFit="1" customWidth="1"/>
    <col min="3850" max="4098" width="9.140625" style="8"/>
    <col min="4099" max="4099" width="2.5703125" style="8" customWidth="1"/>
    <col min="4100" max="4100" width="74.5703125" style="8" customWidth="1"/>
    <col min="4101" max="4101" width="19.5703125" style="8" customWidth="1"/>
    <col min="4102" max="4102" width="3" style="8" customWidth="1"/>
    <col min="4103" max="4103" width="14.7109375" style="8" customWidth="1"/>
    <col min="4104" max="4104" width="14.42578125" style="8" bestFit="1" customWidth="1"/>
    <col min="4105" max="4105" width="12.85546875" style="8" bestFit="1" customWidth="1"/>
    <col min="4106" max="4354" width="9.140625" style="8"/>
    <col min="4355" max="4355" width="2.5703125" style="8" customWidth="1"/>
    <col min="4356" max="4356" width="74.5703125" style="8" customWidth="1"/>
    <col min="4357" max="4357" width="19.5703125" style="8" customWidth="1"/>
    <col min="4358" max="4358" width="3" style="8" customWidth="1"/>
    <col min="4359" max="4359" width="14.7109375" style="8" customWidth="1"/>
    <col min="4360" max="4360" width="14.42578125" style="8" bestFit="1" customWidth="1"/>
    <col min="4361" max="4361" width="12.85546875" style="8" bestFit="1" customWidth="1"/>
    <col min="4362" max="4610" width="9.140625" style="8"/>
    <col min="4611" max="4611" width="2.5703125" style="8" customWidth="1"/>
    <col min="4612" max="4612" width="74.5703125" style="8" customWidth="1"/>
    <col min="4613" max="4613" width="19.5703125" style="8" customWidth="1"/>
    <col min="4614" max="4614" width="3" style="8" customWidth="1"/>
    <col min="4615" max="4615" width="14.7109375" style="8" customWidth="1"/>
    <col min="4616" max="4616" width="14.42578125" style="8" bestFit="1" customWidth="1"/>
    <col min="4617" max="4617" width="12.85546875" style="8" bestFit="1" customWidth="1"/>
    <col min="4618" max="4866" width="9.140625" style="8"/>
    <col min="4867" max="4867" width="2.5703125" style="8" customWidth="1"/>
    <col min="4868" max="4868" width="74.5703125" style="8" customWidth="1"/>
    <col min="4869" max="4869" width="19.5703125" style="8" customWidth="1"/>
    <col min="4870" max="4870" width="3" style="8" customWidth="1"/>
    <col min="4871" max="4871" width="14.7109375" style="8" customWidth="1"/>
    <col min="4872" max="4872" width="14.42578125" style="8" bestFit="1" customWidth="1"/>
    <col min="4873" max="4873" width="12.85546875" style="8" bestFit="1" customWidth="1"/>
    <col min="4874" max="5122" width="9.140625" style="8"/>
    <col min="5123" max="5123" width="2.5703125" style="8" customWidth="1"/>
    <col min="5124" max="5124" width="74.5703125" style="8" customWidth="1"/>
    <col min="5125" max="5125" width="19.5703125" style="8" customWidth="1"/>
    <col min="5126" max="5126" width="3" style="8" customWidth="1"/>
    <col min="5127" max="5127" width="14.7109375" style="8" customWidth="1"/>
    <col min="5128" max="5128" width="14.42578125" style="8" bestFit="1" customWidth="1"/>
    <col min="5129" max="5129" width="12.85546875" style="8" bestFit="1" customWidth="1"/>
    <col min="5130" max="5378" width="9.140625" style="8"/>
    <col min="5379" max="5379" width="2.5703125" style="8" customWidth="1"/>
    <col min="5380" max="5380" width="74.5703125" style="8" customWidth="1"/>
    <col min="5381" max="5381" width="19.5703125" style="8" customWidth="1"/>
    <col min="5382" max="5382" width="3" style="8" customWidth="1"/>
    <col min="5383" max="5383" width="14.7109375" style="8" customWidth="1"/>
    <col min="5384" max="5384" width="14.42578125" style="8" bestFit="1" customWidth="1"/>
    <col min="5385" max="5385" width="12.85546875" style="8" bestFit="1" customWidth="1"/>
    <col min="5386" max="5634" width="9.140625" style="8"/>
    <col min="5635" max="5635" width="2.5703125" style="8" customWidth="1"/>
    <col min="5636" max="5636" width="74.5703125" style="8" customWidth="1"/>
    <col min="5637" max="5637" width="19.5703125" style="8" customWidth="1"/>
    <col min="5638" max="5638" width="3" style="8" customWidth="1"/>
    <col min="5639" max="5639" width="14.7109375" style="8" customWidth="1"/>
    <col min="5640" max="5640" width="14.42578125" style="8" bestFit="1" customWidth="1"/>
    <col min="5641" max="5641" width="12.85546875" style="8" bestFit="1" customWidth="1"/>
    <col min="5642" max="5890" width="9.140625" style="8"/>
    <col min="5891" max="5891" width="2.5703125" style="8" customWidth="1"/>
    <col min="5892" max="5892" width="74.5703125" style="8" customWidth="1"/>
    <col min="5893" max="5893" width="19.5703125" style="8" customWidth="1"/>
    <col min="5894" max="5894" width="3" style="8" customWidth="1"/>
    <col min="5895" max="5895" width="14.7109375" style="8" customWidth="1"/>
    <col min="5896" max="5896" width="14.42578125" style="8" bestFit="1" customWidth="1"/>
    <col min="5897" max="5897" width="12.85546875" style="8" bestFit="1" customWidth="1"/>
    <col min="5898" max="6146" width="9.140625" style="8"/>
    <col min="6147" max="6147" width="2.5703125" style="8" customWidth="1"/>
    <col min="6148" max="6148" width="74.5703125" style="8" customWidth="1"/>
    <col min="6149" max="6149" width="19.5703125" style="8" customWidth="1"/>
    <col min="6150" max="6150" width="3" style="8" customWidth="1"/>
    <col min="6151" max="6151" width="14.7109375" style="8" customWidth="1"/>
    <col min="6152" max="6152" width="14.42578125" style="8" bestFit="1" customWidth="1"/>
    <col min="6153" max="6153" width="12.85546875" style="8" bestFit="1" customWidth="1"/>
    <col min="6154" max="6402" width="9.140625" style="8"/>
    <col min="6403" max="6403" width="2.5703125" style="8" customWidth="1"/>
    <col min="6404" max="6404" width="74.5703125" style="8" customWidth="1"/>
    <col min="6405" max="6405" width="19.5703125" style="8" customWidth="1"/>
    <col min="6406" max="6406" width="3" style="8" customWidth="1"/>
    <col min="6407" max="6407" width="14.7109375" style="8" customWidth="1"/>
    <col min="6408" max="6408" width="14.42578125" style="8" bestFit="1" customWidth="1"/>
    <col min="6409" max="6409" width="12.85546875" style="8" bestFit="1" customWidth="1"/>
    <col min="6410" max="6658" width="9.140625" style="8"/>
    <col min="6659" max="6659" width="2.5703125" style="8" customWidth="1"/>
    <col min="6660" max="6660" width="74.5703125" style="8" customWidth="1"/>
    <col min="6661" max="6661" width="19.5703125" style="8" customWidth="1"/>
    <col min="6662" max="6662" width="3" style="8" customWidth="1"/>
    <col min="6663" max="6663" width="14.7109375" style="8" customWidth="1"/>
    <col min="6664" max="6664" width="14.42578125" style="8" bestFit="1" customWidth="1"/>
    <col min="6665" max="6665" width="12.85546875" style="8" bestFit="1" customWidth="1"/>
    <col min="6666" max="6914" width="9.140625" style="8"/>
    <col min="6915" max="6915" width="2.5703125" style="8" customWidth="1"/>
    <col min="6916" max="6916" width="74.5703125" style="8" customWidth="1"/>
    <col min="6917" max="6917" width="19.5703125" style="8" customWidth="1"/>
    <col min="6918" max="6918" width="3" style="8" customWidth="1"/>
    <col min="6919" max="6919" width="14.7109375" style="8" customWidth="1"/>
    <col min="6920" max="6920" width="14.42578125" style="8" bestFit="1" customWidth="1"/>
    <col min="6921" max="6921" width="12.85546875" style="8" bestFit="1" customWidth="1"/>
    <col min="6922" max="7170" width="9.140625" style="8"/>
    <col min="7171" max="7171" width="2.5703125" style="8" customWidth="1"/>
    <col min="7172" max="7172" width="74.5703125" style="8" customWidth="1"/>
    <col min="7173" max="7173" width="19.5703125" style="8" customWidth="1"/>
    <col min="7174" max="7174" width="3" style="8" customWidth="1"/>
    <col min="7175" max="7175" width="14.7109375" style="8" customWidth="1"/>
    <col min="7176" max="7176" width="14.42578125" style="8" bestFit="1" customWidth="1"/>
    <col min="7177" max="7177" width="12.85546875" style="8" bestFit="1" customWidth="1"/>
    <col min="7178" max="7426" width="9.140625" style="8"/>
    <col min="7427" max="7427" width="2.5703125" style="8" customWidth="1"/>
    <col min="7428" max="7428" width="74.5703125" style="8" customWidth="1"/>
    <col min="7429" max="7429" width="19.5703125" style="8" customWidth="1"/>
    <col min="7430" max="7430" width="3" style="8" customWidth="1"/>
    <col min="7431" max="7431" width="14.7109375" style="8" customWidth="1"/>
    <col min="7432" max="7432" width="14.42578125" style="8" bestFit="1" customWidth="1"/>
    <col min="7433" max="7433" width="12.85546875" style="8" bestFit="1" customWidth="1"/>
    <col min="7434" max="7682" width="9.140625" style="8"/>
    <col min="7683" max="7683" width="2.5703125" style="8" customWidth="1"/>
    <col min="7684" max="7684" width="74.5703125" style="8" customWidth="1"/>
    <col min="7685" max="7685" width="19.5703125" style="8" customWidth="1"/>
    <col min="7686" max="7686" width="3" style="8" customWidth="1"/>
    <col min="7687" max="7687" width="14.7109375" style="8" customWidth="1"/>
    <col min="7688" max="7688" width="14.42578125" style="8" bestFit="1" customWidth="1"/>
    <col min="7689" max="7689" width="12.85546875" style="8" bestFit="1" customWidth="1"/>
    <col min="7690" max="7938" width="9.140625" style="8"/>
    <col min="7939" max="7939" width="2.5703125" style="8" customWidth="1"/>
    <col min="7940" max="7940" width="74.5703125" style="8" customWidth="1"/>
    <col min="7941" max="7941" width="19.5703125" style="8" customWidth="1"/>
    <col min="7942" max="7942" width="3" style="8" customWidth="1"/>
    <col min="7943" max="7943" width="14.7109375" style="8" customWidth="1"/>
    <col min="7944" max="7944" width="14.42578125" style="8" bestFit="1" customWidth="1"/>
    <col min="7945" max="7945" width="12.85546875" style="8" bestFit="1" customWidth="1"/>
    <col min="7946" max="8194" width="9.140625" style="8"/>
    <col min="8195" max="8195" width="2.5703125" style="8" customWidth="1"/>
    <col min="8196" max="8196" width="74.5703125" style="8" customWidth="1"/>
    <col min="8197" max="8197" width="19.5703125" style="8" customWidth="1"/>
    <col min="8198" max="8198" width="3" style="8" customWidth="1"/>
    <col min="8199" max="8199" width="14.7109375" style="8" customWidth="1"/>
    <col min="8200" max="8200" width="14.42578125" style="8" bestFit="1" customWidth="1"/>
    <col min="8201" max="8201" width="12.85546875" style="8" bestFit="1" customWidth="1"/>
    <col min="8202" max="8450" width="9.140625" style="8"/>
    <col min="8451" max="8451" width="2.5703125" style="8" customWidth="1"/>
    <col min="8452" max="8452" width="74.5703125" style="8" customWidth="1"/>
    <col min="8453" max="8453" width="19.5703125" style="8" customWidth="1"/>
    <col min="8454" max="8454" width="3" style="8" customWidth="1"/>
    <col min="8455" max="8455" width="14.7109375" style="8" customWidth="1"/>
    <col min="8456" max="8456" width="14.42578125" style="8" bestFit="1" customWidth="1"/>
    <col min="8457" max="8457" width="12.85546875" style="8" bestFit="1" customWidth="1"/>
    <col min="8458" max="8706" width="9.140625" style="8"/>
    <col min="8707" max="8707" width="2.5703125" style="8" customWidth="1"/>
    <col min="8708" max="8708" width="74.5703125" style="8" customWidth="1"/>
    <col min="8709" max="8709" width="19.5703125" style="8" customWidth="1"/>
    <col min="8710" max="8710" width="3" style="8" customWidth="1"/>
    <col min="8711" max="8711" width="14.7109375" style="8" customWidth="1"/>
    <col min="8712" max="8712" width="14.42578125" style="8" bestFit="1" customWidth="1"/>
    <col min="8713" max="8713" width="12.85546875" style="8" bestFit="1" customWidth="1"/>
    <col min="8714" max="8962" width="9.140625" style="8"/>
    <col min="8963" max="8963" width="2.5703125" style="8" customWidth="1"/>
    <col min="8964" max="8964" width="74.5703125" style="8" customWidth="1"/>
    <col min="8965" max="8965" width="19.5703125" style="8" customWidth="1"/>
    <col min="8966" max="8966" width="3" style="8" customWidth="1"/>
    <col min="8967" max="8967" width="14.7109375" style="8" customWidth="1"/>
    <col min="8968" max="8968" width="14.42578125" style="8" bestFit="1" customWidth="1"/>
    <col min="8969" max="8969" width="12.85546875" style="8" bestFit="1" customWidth="1"/>
    <col min="8970" max="9218" width="9.140625" style="8"/>
    <col min="9219" max="9219" width="2.5703125" style="8" customWidth="1"/>
    <col min="9220" max="9220" width="74.5703125" style="8" customWidth="1"/>
    <col min="9221" max="9221" width="19.5703125" style="8" customWidth="1"/>
    <col min="9222" max="9222" width="3" style="8" customWidth="1"/>
    <col min="9223" max="9223" width="14.7109375" style="8" customWidth="1"/>
    <col min="9224" max="9224" width="14.42578125" style="8" bestFit="1" customWidth="1"/>
    <col min="9225" max="9225" width="12.85546875" style="8" bestFit="1" customWidth="1"/>
    <col min="9226" max="9474" width="9.140625" style="8"/>
    <col min="9475" max="9475" width="2.5703125" style="8" customWidth="1"/>
    <col min="9476" max="9476" width="74.5703125" style="8" customWidth="1"/>
    <col min="9477" max="9477" width="19.5703125" style="8" customWidth="1"/>
    <col min="9478" max="9478" width="3" style="8" customWidth="1"/>
    <col min="9479" max="9479" width="14.7109375" style="8" customWidth="1"/>
    <col min="9480" max="9480" width="14.42578125" style="8" bestFit="1" customWidth="1"/>
    <col min="9481" max="9481" width="12.85546875" style="8" bestFit="1" customWidth="1"/>
    <col min="9482" max="9730" width="9.140625" style="8"/>
    <col min="9731" max="9731" width="2.5703125" style="8" customWidth="1"/>
    <col min="9732" max="9732" width="74.5703125" style="8" customWidth="1"/>
    <col min="9733" max="9733" width="19.5703125" style="8" customWidth="1"/>
    <col min="9734" max="9734" width="3" style="8" customWidth="1"/>
    <col min="9735" max="9735" width="14.7109375" style="8" customWidth="1"/>
    <col min="9736" max="9736" width="14.42578125" style="8" bestFit="1" customWidth="1"/>
    <col min="9737" max="9737" width="12.85546875" style="8" bestFit="1" customWidth="1"/>
    <col min="9738" max="9986" width="9.140625" style="8"/>
    <col min="9987" max="9987" width="2.5703125" style="8" customWidth="1"/>
    <col min="9988" max="9988" width="74.5703125" style="8" customWidth="1"/>
    <col min="9989" max="9989" width="19.5703125" style="8" customWidth="1"/>
    <col min="9990" max="9990" width="3" style="8" customWidth="1"/>
    <col min="9991" max="9991" width="14.7109375" style="8" customWidth="1"/>
    <col min="9992" max="9992" width="14.42578125" style="8" bestFit="1" customWidth="1"/>
    <col min="9993" max="9993" width="12.85546875" style="8" bestFit="1" customWidth="1"/>
    <col min="9994" max="10242" width="9.140625" style="8"/>
    <col min="10243" max="10243" width="2.5703125" style="8" customWidth="1"/>
    <col min="10244" max="10244" width="74.5703125" style="8" customWidth="1"/>
    <col min="10245" max="10245" width="19.5703125" style="8" customWidth="1"/>
    <col min="10246" max="10246" width="3" style="8" customWidth="1"/>
    <col min="10247" max="10247" width="14.7109375" style="8" customWidth="1"/>
    <col min="10248" max="10248" width="14.42578125" style="8" bestFit="1" customWidth="1"/>
    <col min="10249" max="10249" width="12.85546875" style="8" bestFit="1" customWidth="1"/>
    <col min="10250" max="10498" width="9.140625" style="8"/>
    <col min="10499" max="10499" width="2.5703125" style="8" customWidth="1"/>
    <col min="10500" max="10500" width="74.5703125" style="8" customWidth="1"/>
    <col min="10501" max="10501" width="19.5703125" style="8" customWidth="1"/>
    <col min="10502" max="10502" width="3" style="8" customWidth="1"/>
    <col min="10503" max="10503" width="14.7109375" style="8" customWidth="1"/>
    <col min="10504" max="10504" width="14.42578125" style="8" bestFit="1" customWidth="1"/>
    <col min="10505" max="10505" width="12.85546875" style="8" bestFit="1" customWidth="1"/>
    <col min="10506" max="10754" width="9.140625" style="8"/>
    <col min="10755" max="10755" width="2.5703125" style="8" customWidth="1"/>
    <col min="10756" max="10756" width="74.5703125" style="8" customWidth="1"/>
    <col min="10757" max="10757" width="19.5703125" style="8" customWidth="1"/>
    <col min="10758" max="10758" width="3" style="8" customWidth="1"/>
    <col min="10759" max="10759" width="14.7109375" style="8" customWidth="1"/>
    <col min="10760" max="10760" width="14.42578125" style="8" bestFit="1" customWidth="1"/>
    <col min="10761" max="10761" width="12.85546875" style="8" bestFit="1" customWidth="1"/>
    <col min="10762" max="11010" width="9.140625" style="8"/>
    <col min="11011" max="11011" width="2.5703125" style="8" customWidth="1"/>
    <col min="11012" max="11012" width="74.5703125" style="8" customWidth="1"/>
    <col min="11013" max="11013" width="19.5703125" style="8" customWidth="1"/>
    <col min="11014" max="11014" width="3" style="8" customWidth="1"/>
    <col min="11015" max="11015" width="14.7109375" style="8" customWidth="1"/>
    <col min="11016" max="11016" width="14.42578125" style="8" bestFit="1" customWidth="1"/>
    <col min="11017" max="11017" width="12.85546875" style="8" bestFit="1" customWidth="1"/>
    <col min="11018" max="11266" width="9.140625" style="8"/>
    <col min="11267" max="11267" width="2.5703125" style="8" customWidth="1"/>
    <col min="11268" max="11268" width="74.5703125" style="8" customWidth="1"/>
    <col min="11269" max="11269" width="19.5703125" style="8" customWidth="1"/>
    <col min="11270" max="11270" width="3" style="8" customWidth="1"/>
    <col min="11271" max="11271" width="14.7109375" style="8" customWidth="1"/>
    <col min="11272" max="11272" width="14.42578125" style="8" bestFit="1" customWidth="1"/>
    <col min="11273" max="11273" width="12.85546875" style="8" bestFit="1" customWidth="1"/>
    <col min="11274" max="11522" width="9.140625" style="8"/>
    <col min="11523" max="11523" width="2.5703125" style="8" customWidth="1"/>
    <col min="11524" max="11524" width="74.5703125" style="8" customWidth="1"/>
    <col min="11525" max="11525" width="19.5703125" style="8" customWidth="1"/>
    <col min="11526" max="11526" width="3" style="8" customWidth="1"/>
    <col min="11527" max="11527" width="14.7109375" style="8" customWidth="1"/>
    <col min="11528" max="11528" width="14.42578125" style="8" bestFit="1" customWidth="1"/>
    <col min="11529" max="11529" width="12.85546875" style="8" bestFit="1" customWidth="1"/>
    <col min="11530" max="11778" width="9.140625" style="8"/>
    <col min="11779" max="11779" width="2.5703125" style="8" customWidth="1"/>
    <col min="11780" max="11780" width="74.5703125" style="8" customWidth="1"/>
    <col min="11781" max="11781" width="19.5703125" style="8" customWidth="1"/>
    <col min="11782" max="11782" width="3" style="8" customWidth="1"/>
    <col min="11783" max="11783" width="14.7109375" style="8" customWidth="1"/>
    <col min="11784" max="11784" width="14.42578125" style="8" bestFit="1" customWidth="1"/>
    <col min="11785" max="11785" width="12.85546875" style="8" bestFit="1" customWidth="1"/>
    <col min="11786" max="12034" width="9.140625" style="8"/>
    <col min="12035" max="12035" width="2.5703125" style="8" customWidth="1"/>
    <col min="12036" max="12036" width="74.5703125" style="8" customWidth="1"/>
    <col min="12037" max="12037" width="19.5703125" style="8" customWidth="1"/>
    <col min="12038" max="12038" width="3" style="8" customWidth="1"/>
    <col min="12039" max="12039" width="14.7109375" style="8" customWidth="1"/>
    <col min="12040" max="12040" width="14.42578125" style="8" bestFit="1" customWidth="1"/>
    <col min="12041" max="12041" width="12.85546875" style="8" bestFit="1" customWidth="1"/>
    <col min="12042" max="12290" width="9.140625" style="8"/>
    <col min="12291" max="12291" width="2.5703125" style="8" customWidth="1"/>
    <col min="12292" max="12292" width="74.5703125" style="8" customWidth="1"/>
    <col min="12293" max="12293" width="19.5703125" style="8" customWidth="1"/>
    <col min="12294" max="12294" width="3" style="8" customWidth="1"/>
    <col min="12295" max="12295" width="14.7109375" style="8" customWidth="1"/>
    <col min="12296" max="12296" width="14.42578125" style="8" bestFit="1" customWidth="1"/>
    <col min="12297" max="12297" width="12.85546875" style="8" bestFit="1" customWidth="1"/>
    <col min="12298" max="12546" width="9.140625" style="8"/>
    <col min="12547" max="12547" width="2.5703125" style="8" customWidth="1"/>
    <col min="12548" max="12548" width="74.5703125" style="8" customWidth="1"/>
    <col min="12549" max="12549" width="19.5703125" style="8" customWidth="1"/>
    <col min="12550" max="12550" width="3" style="8" customWidth="1"/>
    <col min="12551" max="12551" width="14.7109375" style="8" customWidth="1"/>
    <col min="12552" max="12552" width="14.42578125" style="8" bestFit="1" customWidth="1"/>
    <col min="12553" max="12553" width="12.85546875" style="8" bestFit="1" customWidth="1"/>
    <col min="12554" max="12802" width="9.140625" style="8"/>
    <col min="12803" max="12803" width="2.5703125" style="8" customWidth="1"/>
    <col min="12804" max="12804" width="74.5703125" style="8" customWidth="1"/>
    <col min="12805" max="12805" width="19.5703125" style="8" customWidth="1"/>
    <col min="12806" max="12806" width="3" style="8" customWidth="1"/>
    <col min="12807" max="12807" width="14.7109375" style="8" customWidth="1"/>
    <col min="12808" max="12808" width="14.42578125" style="8" bestFit="1" customWidth="1"/>
    <col min="12809" max="12809" width="12.85546875" style="8" bestFit="1" customWidth="1"/>
    <col min="12810" max="13058" width="9.140625" style="8"/>
    <col min="13059" max="13059" width="2.5703125" style="8" customWidth="1"/>
    <col min="13060" max="13060" width="74.5703125" style="8" customWidth="1"/>
    <col min="13061" max="13061" width="19.5703125" style="8" customWidth="1"/>
    <col min="13062" max="13062" width="3" style="8" customWidth="1"/>
    <col min="13063" max="13063" width="14.7109375" style="8" customWidth="1"/>
    <col min="13064" max="13064" width="14.42578125" style="8" bestFit="1" customWidth="1"/>
    <col min="13065" max="13065" width="12.85546875" style="8" bestFit="1" customWidth="1"/>
    <col min="13066" max="13314" width="9.140625" style="8"/>
    <col min="13315" max="13315" width="2.5703125" style="8" customWidth="1"/>
    <col min="13316" max="13316" width="74.5703125" style="8" customWidth="1"/>
    <col min="13317" max="13317" width="19.5703125" style="8" customWidth="1"/>
    <col min="13318" max="13318" width="3" style="8" customWidth="1"/>
    <col min="13319" max="13319" width="14.7109375" style="8" customWidth="1"/>
    <col min="13320" max="13320" width="14.42578125" style="8" bestFit="1" customWidth="1"/>
    <col min="13321" max="13321" width="12.85546875" style="8" bestFit="1" customWidth="1"/>
    <col min="13322" max="13570" width="9.140625" style="8"/>
    <col min="13571" max="13571" width="2.5703125" style="8" customWidth="1"/>
    <col min="13572" max="13572" width="74.5703125" style="8" customWidth="1"/>
    <col min="13573" max="13573" width="19.5703125" style="8" customWidth="1"/>
    <col min="13574" max="13574" width="3" style="8" customWidth="1"/>
    <col min="13575" max="13575" width="14.7109375" style="8" customWidth="1"/>
    <col min="13576" max="13576" width="14.42578125" style="8" bestFit="1" customWidth="1"/>
    <col min="13577" max="13577" width="12.85546875" style="8" bestFit="1" customWidth="1"/>
    <col min="13578" max="13826" width="9.140625" style="8"/>
    <col min="13827" max="13827" width="2.5703125" style="8" customWidth="1"/>
    <col min="13828" max="13828" width="74.5703125" style="8" customWidth="1"/>
    <col min="13829" max="13829" width="19.5703125" style="8" customWidth="1"/>
    <col min="13830" max="13830" width="3" style="8" customWidth="1"/>
    <col min="13831" max="13831" width="14.7109375" style="8" customWidth="1"/>
    <col min="13832" max="13832" width="14.42578125" style="8" bestFit="1" customWidth="1"/>
    <col min="13833" max="13833" width="12.85546875" style="8" bestFit="1" customWidth="1"/>
    <col min="13834" max="14082" width="9.140625" style="8"/>
    <col min="14083" max="14083" width="2.5703125" style="8" customWidth="1"/>
    <col min="14084" max="14084" width="74.5703125" style="8" customWidth="1"/>
    <col min="14085" max="14085" width="19.5703125" style="8" customWidth="1"/>
    <col min="14086" max="14086" width="3" style="8" customWidth="1"/>
    <col min="14087" max="14087" width="14.7109375" style="8" customWidth="1"/>
    <col min="14088" max="14088" width="14.42578125" style="8" bestFit="1" customWidth="1"/>
    <col min="14089" max="14089" width="12.85546875" style="8" bestFit="1" customWidth="1"/>
    <col min="14090" max="14338" width="9.140625" style="8"/>
    <col min="14339" max="14339" width="2.5703125" style="8" customWidth="1"/>
    <col min="14340" max="14340" width="74.5703125" style="8" customWidth="1"/>
    <col min="14341" max="14341" width="19.5703125" style="8" customWidth="1"/>
    <col min="14342" max="14342" width="3" style="8" customWidth="1"/>
    <col min="14343" max="14343" width="14.7109375" style="8" customWidth="1"/>
    <col min="14344" max="14344" width="14.42578125" style="8" bestFit="1" customWidth="1"/>
    <col min="14345" max="14345" width="12.85546875" style="8" bestFit="1" customWidth="1"/>
    <col min="14346" max="14594" width="9.140625" style="8"/>
    <col min="14595" max="14595" width="2.5703125" style="8" customWidth="1"/>
    <col min="14596" max="14596" width="74.5703125" style="8" customWidth="1"/>
    <col min="14597" max="14597" width="19.5703125" style="8" customWidth="1"/>
    <col min="14598" max="14598" width="3" style="8" customWidth="1"/>
    <col min="14599" max="14599" width="14.7109375" style="8" customWidth="1"/>
    <col min="14600" max="14600" width="14.42578125" style="8" bestFit="1" customWidth="1"/>
    <col min="14601" max="14601" width="12.85546875" style="8" bestFit="1" customWidth="1"/>
    <col min="14602" max="14850" width="9.140625" style="8"/>
    <col min="14851" max="14851" width="2.5703125" style="8" customWidth="1"/>
    <col min="14852" max="14852" width="74.5703125" style="8" customWidth="1"/>
    <col min="14853" max="14853" width="19.5703125" style="8" customWidth="1"/>
    <col min="14854" max="14854" width="3" style="8" customWidth="1"/>
    <col min="14855" max="14855" width="14.7109375" style="8" customWidth="1"/>
    <col min="14856" max="14856" width="14.42578125" style="8" bestFit="1" customWidth="1"/>
    <col min="14857" max="14857" width="12.85546875" style="8" bestFit="1" customWidth="1"/>
    <col min="14858" max="15106" width="9.140625" style="8"/>
    <col min="15107" max="15107" width="2.5703125" style="8" customWidth="1"/>
    <col min="15108" max="15108" width="74.5703125" style="8" customWidth="1"/>
    <col min="15109" max="15109" width="19.5703125" style="8" customWidth="1"/>
    <col min="15110" max="15110" width="3" style="8" customWidth="1"/>
    <col min="15111" max="15111" width="14.7109375" style="8" customWidth="1"/>
    <col min="15112" max="15112" width="14.42578125" style="8" bestFit="1" customWidth="1"/>
    <col min="15113" max="15113" width="12.85546875" style="8" bestFit="1" customWidth="1"/>
    <col min="15114" max="15362" width="9.140625" style="8"/>
    <col min="15363" max="15363" width="2.5703125" style="8" customWidth="1"/>
    <col min="15364" max="15364" width="74.5703125" style="8" customWidth="1"/>
    <col min="15365" max="15365" width="19.5703125" style="8" customWidth="1"/>
    <col min="15366" max="15366" width="3" style="8" customWidth="1"/>
    <col min="15367" max="15367" width="14.7109375" style="8" customWidth="1"/>
    <col min="15368" max="15368" width="14.42578125" style="8" bestFit="1" customWidth="1"/>
    <col min="15369" max="15369" width="12.85546875" style="8" bestFit="1" customWidth="1"/>
    <col min="15370" max="15618" width="9.140625" style="8"/>
    <col min="15619" max="15619" width="2.5703125" style="8" customWidth="1"/>
    <col min="15620" max="15620" width="74.5703125" style="8" customWidth="1"/>
    <col min="15621" max="15621" width="19.5703125" style="8" customWidth="1"/>
    <col min="15622" max="15622" width="3" style="8" customWidth="1"/>
    <col min="15623" max="15623" width="14.7109375" style="8" customWidth="1"/>
    <col min="15624" max="15624" width="14.42578125" style="8" bestFit="1" customWidth="1"/>
    <col min="15625" max="15625" width="12.85546875" style="8" bestFit="1" customWidth="1"/>
    <col min="15626" max="15874" width="9.140625" style="8"/>
    <col min="15875" max="15875" width="2.5703125" style="8" customWidth="1"/>
    <col min="15876" max="15876" width="74.5703125" style="8" customWidth="1"/>
    <col min="15877" max="15877" width="19.5703125" style="8" customWidth="1"/>
    <col min="15878" max="15878" width="3" style="8" customWidth="1"/>
    <col min="15879" max="15879" width="14.7109375" style="8" customWidth="1"/>
    <col min="15880" max="15880" width="14.42578125" style="8" bestFit="1" customWidth="1"/>
    <col min="15881" max="15881" width="12.85546875" style="8" bestFit="1" customWidth="1"/>
    <col min="15882" max="16130" width="9.140625" style="8"/>
    <col min="16131" max="16131" width="2.5703125" style="8" customWidth="1"/>
    <col min="16132" max="16132" width="74.5703125" style="8" customWidth="1"/>
    <col min="16133" max="16133" width="19.5703125" style="8" customWidth="1"/>
    <col min="16134" max="16134" width="3" style="8" customWidth="1"/>
    <col min="16135" max="16135" width="14.7109375" style="8" customWidth="1"/>
    <col min="16136" max="16136" width="14.42578125" style="8" bestFit="1" customWidth="1"/>
    <col min="16137" max="16137" width="12.85546875" style="8" bestFit="1" customWidth="1"/>
    <col min="16138" max="16384" width="9.140625" style="8"/>
  </cols>
  <sheetData>
    <row r="1" spans="1:18" ht="15.75" customHeight="1">
      <c r="A1" s="282" t="s">
        <v>195</v>
      </c>
      <c r="B1" s="283"/>
      <c r="C1" s="283"/>
      <c r="D1" s="9"/>
      <c r="K1" s="29"/>
    </row>
    <row r="2" spans="1:18" ht="15.75" customHeight="1">
      <c r="A2" s="282" t="s">
        <v>60</v>
      </c>
      <c r="B2" s="283"/>
      <c r="C2" s="283"/>
      <c r="D2" s="9"/>
      <c r="K2" s="29"/>
    </row>
    <row r="3" spans="1:18" ht="15.75" customHeight="1">
      <c r="A3" s="282" t="s">
        <v>59</v>
      </c>
      <c r="B3" s="283"/>
      <c r="C3" s="283"/>
      <c r="D3" s="9"/>
      <c r="K3" s="29"/>
      <c r="O3" s="223" t="s">
        <v>620</v>
      </c>
    </row>
    <row r="4" spans="1:18" ht="15.75" customHeight="1" thickBot="1">
      <c r="A4" s="282" t="s">
        <v>112</v>
      </c>
      <c r="B4" s="283"/>
      <c r="C4" s="283"/>
      <c r="D4" s="9"/>
      <c r="O4" s="224">
        <v>0.35</v>
      </c>
    </row>
    <row r="5" spans="1:18" s="217" customFormat="1" ht="39.75" customHeight="1" thickBot="1">
      <c r="A5" s="215"/>
      <c r="B5" s="216"/>
      <c r="C5" s="136" t="s">
        <v>75</v>
      </c>
      <c r="D5" s="136" t="s">
        <v>74</v>
      </c>
      <c r="E5" s="136" t="s">
        <v>76</v>
      </c>
      <c r="F5" s="136" t="s">
        <v>77</v>
      </c>
      <c r="G5" s="136" t="s">
        <v>79</v>
      </c>
      <c r="H5" s="136" t="s">
        <v>78</v>
      </c>
      <c r="I5" s="136" t="s">
        <v>80</v>
      </c>
      <c r="J5" s="136" t="s">
        <v>81</v>
      </c>
      <c r="K5" s="136" t="s">
        <v>82</v>
      </c>
      <c r="L5" s="136" t="s">
        <v>83</v>
      </c>
      <c r="M5" s="136" t="s">
        <v>196</v>
      </c>
      <c r="N5" s="136" t="s">
        <v>617</v>
      </c>
      <c r="O5" s="214" t="s">
        <v>618</v>
      </c>
      <c r="P5" s="219"/>
    </row>
    <row r="6" spans="1:18" ht="16.5" customHeight="1">
      <c r="A6" s="10"/>
      <c r="B6" s="11" t="s">
        <v>4</v>
      </c>
      <c r="C6" s="39">
        <f ca="1">+PROYECCIONES!AU6</f>
        <v>66350221.333333336</v>
      </c>
      <c r="D6" s="39">
        <f ca="1">PROYECCIONES!AW6</f>
        <v>51598585</v>
      </c>
      <c r="E6" s="39">
        <f ca="1">+PROYECCIONES!BB6</f>
        <v>81350221.333333343</v>
      </c>
      <c r="F6" s="39">
        <f ca="1">PROYECCIONES!BD6</f>
        <v>61717237</v>
      </c>
      <c r="G6" s="39">
        <f ca="1">+PROYECCIONES!BI6</f>
        <v>99966888</v>
      </c>
      <c r="H6" s="39">
        <f ca="1">PROYECCIONES!BK6</f>
        <v>0</v>
      </c>
      <c r="I6" s="39">
        <f ca="1">+PROYECCIONES!BP6</f>
        <v>61016888</v>
      </c>
      <c r="J6" s="39">
        <f ca="1">PROYECCIONES!BR6</f>
        <v>0</v>
      </c>
      <c r="K6" s="39">
        <f ca="1">+PROYECCIONES!BW6</f>
        <v>61016888</v>
      </c>
      <c r="L6" s="39">
        <f ca="1">PROYECCIONES!BY6</f>
        <v>0</v>
      </c>
      <c r="M6" s="39">
        <f ca="1">+PROYECCIONES!CD6</f>
        <v>69966888</v>
      </c>
      <c r="N6" s="39">
        <f ca="1">PROYECCIONES!CF6</f>
        <v>0</v>
      </c>
      <c r="O6" s="39">
        <f ca="1">IFERROR(CHOOSE(MATCH(0,C6:N6,0),,C6+E6+G6+I6+K6+M6,,D6+E6+G6+I6+K6+M6,,F6+G6+I6+K6+M6,,H6+I6+K6+M6,,J6+K6+M6,,L6+M6),0)</f>
        <v>353684789</v>
      </c>
      <c r="Q6" s="25"/>
      <c r="R6" s="25"/>
    </row>
    <row r="7" spans="1:18" ht="14.25">
      <c r="A7" s="12"/>
      <c r="B7" s="13" t="s">
        <v>13</v>
      </c>
      <c r="C7" s="39">
        <f ca="1">+PROYECCIONES!AU15+PROYECCIONES!AU21</f>
        <v>1537.8049999999955</v>
      </c>
      <c r="D7" s="39">
        <f ca="1">PROYECCIONES!AW15+PROYECCIONES!AW21</f>
        <v>919.73000000000047</v>
      </c>
      <c r="E7" s="39">
        <f ca="1">+PROYECCIONES!BB15+PROYECCIONES!BB21</f>
        <v>1537.8049999999955</v>
      </c>
      <c r="F7" s="39">
        <f ca="1">PROYECCIONES!BD15+PROYECCIONES!BD21</f>
        <v>1545.2200000000012</v>
      </c>
      <c r="G7" s="39">
        <f ca="1">+PROYECCIONES!BI15+PROYECCIONES!BI21</f>
        <v>1537.8049999999955</v>
      </c>
      <c r="H7" s="39">
        <f ca="1">PROYECCIONES!BK15+PROYECCIONES!BK21</f>
        <v>0</v>
      </c>
      <c r="I7" s="39">
        <f ca="1">+PROYECCIONES!BP15+PROYECCIONES!BP21</f>
        <v>1537.8049999999955</v>
      </c>
      <c r="J7" s="39">
        <f ca="1">PROYECCIONES!BR15+PROYECCIONES!BR21</f>
        <v>0</v>
      </c>
      <c r="K7" s="39">
        <f ca="1">+PROYECCIONES!BW15+PROYECCIONES!BW21</f>
        <v>1537.8049999999955</v>
      </c>
      <c r="L7" s="39">
        <f ca="1">PROYECCIONES!BY15+PROYECCIONES!BY21</f>
        <v>0</v>
      </c>
      <c r="M7" s="39">
        <f ca="1">SUM(PROYECCIONES!BT15,PROYECCIONES!BT21,PROYECCIONES!BW15,PROYECCIONES!BW21,PROYECCIONES!CD15,PROYECCIONES!CD21)</f>
        <v>3075.609999999991</v>
      </c>
      <c r="N7" s="39">
        <f ca="1">PROYECCIONES!CF15+PROYECCIONES!CF21</f>
        <v>0</v>
      </c>
      <c r="O7" s="39">
        <f ca="1">IFERROR(CHOOSE(MATCH(0,C7:N7,0),,C7+E7+G7+I7+K7+M7,,D7+E7+G7+I7+K7+M7,,F7+G7+I7+K7+M7,,H7+I7+K7+M7,,J7+K7+M7,,L7+M7),0)</f>
        <v>9234.244999999979</v>
      </c>
      <c r="Q7" s="25"/>
    </row>
    <row r="8" spans="1:18" ht="14.25">
      <c r="A8" s="12"/>
      <c r="B8" s="13" t="s">
        <v>63</v>
      </c>
      <c r="C8" s="40">
        <f ca="1">+PROYECCIONES!AU42</f>
        <v>27443308.431212116</v>
      </c>
      <c r="D8" s="39">
        <f ca="1">PROYECCIONES!AW42</f>
        <v>37378687.400000006</v>
      </c>
      <c r="E8" s="40">
        <f ca="1">+PROYECCIONES!BB42</f>
        <v>27443308.431212116</v>
      </c>
      <c r="F8" s="39">
        <f ca="1">PROYECCIONES!BD42</f>
        <v>17092622.719999999</v>
      </c>
      <c r="G8" s="40">
        <f ca="1">+PROYECCIONES!BI42</f>
        <v>27443308.431212116</v>
      </c>
      <c r="H8" s="39">
        <f ca="1">PROYECCIONES!BK42</f>
        <v>0</v>
      </c>
      <c r="I8" s="40">
        <f ca="1">+PROYECCIONES!BP42</f>
        <v>27443308.431212116</v>
      </c>
      <c r="J8" s="39">
        <f ca="1">PROYECCIONES!BR42</f>
        <v>0</v>
      </c>
      <c r="K8" s="40">
        <f ca="1">+PROYECCIONES!BW42</f>
        <v>27443308.431212116</v>
      </c>
      <c r="L8" s="39">
        <f ca="1">PROYECCIONES!BY42</f>
        <v>0</v>
      </c>
      <c r="M8" s="39">
        <f ca="1">SUM(PROYECCIONES!BT42,PROYECCIONES!BW42,PROYECCIONES!CD42)</f>
        <v>54886616.862424232</v>
      </c>
      <c r="N8" s="39">
        <f ca="1">PROYECCIONES!CF42</f>
        <v>0</v>
      </c>
      <c r="O8" s="39">
        <f ca="1">IFERROR(CHOOSE(MATCH(0,C8:N8,0),,C8+E8+G8+I8+K8+M8,,D8+E8+G8+I8+K8+M8,,F8+G8+I8+K8+M8,,H8+I8+K8+M8,,J8+K8+M8,,L8+M8),0)</f>
        <v>154309164.87606058</v>
      </c>
      <c r="Q8" s="25"/>
    </row>
    <row r="9" spans="1:18" ht="14.25">
      <c r="A9" s="12"/>
      <c r="B9" s="13" t="s">
        <v>14</v>
      </c>
      <c r="C9" s="40">
        <f ca="1">+PROYECCIONES!AU135</f>
        <v>1003000</v>
      </c>
      <c r="D9" s="39">
        <f ca="1">PROYECCIONES!AW135</f>
        <v>3116373.7700000014</v>
      </c>
      <c r="E9" s="40">
        <f ca="1">+PROYECCIONES!BB135</f>
        <v>1003000</v>
      </c>
      <c r="F9" s="39">
        <f ca="1">PROYECCIONES!BD135</f>
        <v>1529411.7699999996</v>
      </c>
      <c r="G9" s="40">
        <f ca="1">+PROYECCIONES!BI135</f>
        <v>1003000</v>
      </c>
      <c r="H9" s="39">
        <f ca="1">PROYECCIONES!BK135</f>
        <v>0</v>
      </c>
      <c r="I9" s="40">
        <f ca="1">+PROYECCIONES!BP135</f>
        <v>1003000</v>
      </c>
      <c r="J9" s="39">
        <f ca="1">PROYECCIONES!BR135</f>
        <v>0</v>
      </c>
      <c r="K9" s="40">
        <f ca="1">+PROYECCIONES!BW135</f>
        <v>1003000</v>
      </c>
      <c r="L9" s="39">
        <f ca="1">PROYECCIONES!BY135</f>
        <v>0</v>
      </c>
      <c r="M9" s="40">
        <f ca="1">SUM(PROYECCIONES!BT135,PROYECCIONES!BW135,PROYECCIONES!CD135)</f>
        <v>2006000</v>
      </c>
      <c r="N9" s="39">
        <f ca="1">PROYECCIONES!CF135</f>
        <v>0</v>
      </c>
      <c r="O9" s="39">
        <f ca="1">IFERROR(CHOOSE(MATCH(0,C9:N9,0),,C9+E9+G9+I9+K9+M9,,D9+E9+G9+I9+K9+M9,,F9+G9+I9+K9+M9,,H9+I9+K9+M9,,J9+K9+M9,,L9+M9),0)</f>
        <v>6544411.7699999996</v>
      </c>
      <c r="Q9" s="25"/>
    </row>
    <row r="10" spans="1:18" ht="14.25">
      <c r="A10" s="12"/>
      <c r="B10" s="13" t="s">
        <v>62</v>
      </c>
      <c r="C10" s="40">
        <f ca="1">+PROYECCIONES!AU163</f>
        <v>1287090.5133333334</v>
      </c>
      <c r="D10" s="39">
        <f ca="1">PROYECCIONES!AW163</f>
        <v>1112751.7300000004</v>
      </c>
      <c r="E10" s="40">
        <f ca="1">+PROYECCIONES!BB163</f>
        <v>1287090.5133333334</v>
      </c>
      <c r="F10" s="39">
        <f ca="1">PROYECCIONES!BD163</f>
        <v>1615116.4499999993</v>
      </c>
      <c r="G10" s="40">
        <f ca="1">+PROYECCIONES!BI163</f>
        <v>1287090.5133333334</v>
      </c>
      <c r="H10" s="39">
        <f ca="1">PROYECCIONES!BK163</f>
        <v>0</v>
      </c>
      <c r="I10" s="40">
        <f ca="1">+PROYECCIONES!BP163</f>
        <v>1287090.5133333334</v>
      </c>
      <c r="J10" s="39">
        <f ca="1">PROYECCIONES!BR163</f>
        <v>0</v>
      </c>
      <c r="K10" s="40">
        <f ca="1">+PROYECCIONES!BW163</f>
        <v>1287090.5133333334</v>
      </c>
      <c r="L10" s="39">
        <f ca="1">PROYECCIONES!BY163</f>
        <v>0</v>
      </c>
      <c r="M10" s="40">
        <f ca="1">SUM(PROYECCIONES!BT163,PROYECCIONES!BW163,PROYECCIONES!CD163)</f>
        <v>2574181.0266666668</v>
      </c>
      <c r="N10" s="39">
        <f ca="1">PROYECCIONES!CF163</f>
        <v>0</v>
      </c>
      <c r="O10" s="39">
        <f t="shared" ref="O10:O13" ca="1" si="0">IFERROR(CHOOSE(MATCH(0,C10:N10,0),,C10+E10+G10+I10+K10+M10,,D10+E10+G10+I10+K10+M10,,F10+G10+I10+K10+M10,,H10+I10+K10+M10,,J10+K10+M10,,L10+M10),0)</f>
        <v>8050569.0166666675</v>
      </c>
      <c r="Q10" s="25"/>
    </row>
    <row r="11" spans="1:18" ht="14.25">
      <c r="A11" s="12"/>
      <c r="B11" s="13" t="s">
        <v>61</v>
      </c>
      <c r="C11" s="40">
        <f ca="1">+PROYECCIONES!AU150</f>
        <v>265267.4383333333</v>
      </c>
      <c r="D11" s="39">
        <f ca="1">PROYECCIONES!AW150</f>
        <v>538192.7300000001</v>
      </c>
      <c r="E11" s="40">
        <f ca="1">+PROYECCIONES!BB150</f>
        <v>265267.4383333333</v>
      </c>
      <c r="F11" s="39">
        <f ca="1">PROYECCIONES!BD150</f>
        <v>567365.12000000011</v>
      </c>
      <c r="G11" s="40">
        <f ca="1">+PROYECCIONES!BI150</f>
        <v>265267.4383333333</v>
      </c>
      <c r="H11" s="39">
        <f ca="1">PROYECCIONES!BK150</f>
        <v>0</v>
      </c>
      <c r="I11" s="40">
        <f ca="1">+PROYECCIONES!BP150</f>
        <v>265267.4383333333</v>
      </c>
      <c r="J11" s="39">
        <f ca="1">PROYECCIONES!BR150</f>
        <v>0</v>
      </c>
      <c r="K11" s="40">
        <f ca="1">+PROYECCIONES!BW150</f>
        <v>265267.4383333333</v>
      </c>
      <c r="L11" s="39">
        <f ca="1">PROYECCIONES!BY150</f>
        <v>0</v>
      </c>
      <c r="M11" s="40">
        <f ca="1">SUM(PROYECCIONES!BT150,PROYECCIONES!BW150,PROYECCIONES!CD150)</f>
        <v>530534.87666666659</v>
      </c>
      <c r="N11" s="39">
        <f ca="1">PROYECCIONES!CF150</f>
        <v>0</v>
      </c>
      <c r="O11" s="39">
        <f t="shared" ca="1" si="0"/>
        <v>1893702.3116666665</v>
      </c>
    </row>
    <row r="12" spans="1:18" ht="14.25">
      <c r="A12" s="12"/>
      <c r="B12" s="13" t="s">
        <v>15</v>
      </c>
      <c r="C12" s="40">
        <v>0</v>
      </c>
      <c r="D12" s="40">
        <f ca="1">PROYECCIONES!AW169</f>
        <v>0</v>
      </c>
      <c r="E12" s="40">
        <v>0</v>
      </c>
      <c r="F12" s="40">
        <f ca="1">PROYECCIONES!BD169</f>
        <v>0</v>
      </c>
      <c r="G12" s="40">
        <v>0</v>
      </c>
      <c r="H12" s="40">
        <f ca="1">PROYECCIONES!BK169</f>
        <v>0</v>
      </c>
      <c r="I12" s="40">
        <v>0</v>
      </c>
      <c r="J12" s="40">
        <f ca="1">PROYECCIONES!BR169</f>
        <v>0</v>
      </c>
      <c r="K12" s="40">
        <v>0</v>
      </c>
      <c r="L12" s="40">
        <f ca="1">PROYECCIONES!BY169</f>
        <v>0</v>
      </c>
      <c r="M12" s="40">
        <v>0</v>
      </c>
      <c r="N12" s="40">
        <f ca="1">PROYECCIONES!CF169</f>
        <v>0</v>
      </c>
      <c r="O12" s="39">
        <f t="shared" si="0"/>
        <v>0</v>
      </c>
      <c r="Q12" s="32"/>
    </row>
    <row r="13" spans="1:18" ht="14.25">
      <c r="A13" s="12"/>
      <c r="B13" s="13" t="s">
        <v>16</v>
      </c>
      <c r="C13" s="40">
        <f>+PROYECCIONES!AU24</f>
        <v>13592349.333333332</v>
      </c>
      <c r="D13" s="40">
        <f ca="1">PROYECCIONES!AW24</f>
        <v>16222965</v>
      </c>
      <c r="E13" s="40">
        <f>+PROYECCIONES!BB24</f>
        <v>13592349.333333332</v>
      </c>
      <c r="F13" s="40">
        <f ca="1">PROYECCIONES!BD24</f>
        <v>15583817</v>
      </c>
      <c r="G13" s="40">
        <f>+PROYECCIONES!BI24</f>
        <v>13592349.333333332</v>
      </c>
      <c r="H13" s="40">
        <f ca="1">PROYECCIONES!BK24</f>
        <v>0</v>
      </c>
      <c r="I13" s="40">
        <f>+PROYECCIONES!BP24</f>
        <v>13592349.333333332</v>
      </c>
      <c r="J13" s="40">
        <f ca="1">PROYECCIONES!BR24</f>
        <v>0</v>
      </c>
      <c r="K13" s="40">
        <f>+PROYECCIONES!BW24</f>
        <v>13592349.333333332</v>
      </c>
      <c r="L13" s="40">
        <f ca="1">PROYECCIONES!BY24</f>
        <v>0</v>
      </c>
      <c r="M13" s="40">
        <f ca="1">SUM(PROYECCIONES!BT24)</f>
        <v>0</v>
      </c>
      <c r="N13" s="40">
        <f ca="1">PROYECCIONES!CF24</f>
        <v>0</v>
      </c>
      <c r="O13" s="39">
        <f t="shared" ca="1" si="0"/>
        <v>56360865</v>
      </c>
      <c r="Q13" s="38"/>
    </row>
    <row r="14" spans="1:18" ht="14.25">
      <c r="A14" s="12"/>
      <c r="B14" s="13" t="s">
        <v>114</v>
      </c>
      <c r="C14" s="40"/>
      <c r="D14" s="40">
        <f ca="1">D6-D13</f>
        <v>35375620</v>
      </c>
      <c r="E14" s="40"/>
      <c r="F14" s="40">
        <f ca="1">F6-F13</f>
        <v>46133420</v>
      </c>
      <c r="G14" s="40"/>
      <c r="H14" s="40">
        <f ca="1">H6-H13</f>
        <v>0</v>
      </c>
      <c r="I14" s="40"/>
      <c r="J14" s="40">
        <f ca="1">J6-J13</f>
        <v>0</v>
      </c>
      <c r="K14" s="40"/>
      <c r="L14" s="40">
        <f ca="1">L6-L13</f>
        <v>0</v>
      </c>
      <c r="M14" s="41">
        <f ca="1">+(M6-M13)/M6</f>
        <v>1</v>
      </c>
      <c r="N14" s="40">
        <f ca="1">N6-N13</f>
        <v>0</v>
      </c>
      <c r="O14" s="41">
        <f ca="1">+(O6-O13)/O6</f>
        <v>0.8406466244721652</v>
      </c>
    </row>
    <row r="15" spans="1:18" ht="15">
      <c r="A15" s="14"/>
      <c r="B15" s="15" t="s">
        <v>17</v>
      </c>
      <c r="C15" s="42">
        <f ca="1">+C6+C7-C8-C9-C10-C11-C13</f>
        <v>22760743.422121223</v>
      </c>
      <c r="D15" s="42">
        <f ca="1">D6+D7-D8-D9-D10-D11-D12-D13</f>
        <v>-6769465.9000000115</v>
      </c>
      <c r="E15" s="42">
        <f ca="1">+E6+E7-E8-E9-E10-E11-E13</f>
        <v>37760743.422121242</v>
      </c>
      <c r="F15" s="42">
        <f ca="1">F6+F7-F8-F9-F10-F11-F12-F13</f>
        <v>25330449.160000004</v>
      </c>
      <c r="G15" s="42">
        <f ca="1">+G6+G7-G8-G9-G10-G11-G13</f>
        <v>56377410.088787898</v>
      </c>
      <c r="H15" s="42">
        <f ca="1">H6+H7-H8-H9-H10-H11-H12-H13</f>
        <v>0</v>
      </c>
      <c r="I15" s="42">
        <f ca="1">+I6+I7-I8-I9-I10-I11-I13</f>
        <v>17427410.088787884</v>
      </c>
      <c r="J15" s="42">
        <f ca="1">J6+J7-J8-J9-J10-J11-J12-J13</f>
        <v>0</v>
      </c>
      <c r="K15" s="42">
        <f ca="1">+K6+K7-K8-K9-K10-K11-K13</f>
        <v>17427410.088787884</v>
      </c>
      <c r="L15" s="42">
        <f ca="1">L6+L7-L8-L9-L10-L11-L12-L13</f>
        <v>0</v>
      </c>
      <c r="M15" s="42">
        <f ca="1">+M6+M7-M8-M9-M10-M11-M13</f>
        <v>9972630.8442424331</v>
      </c>
      <c r="N15" s="42">
        <f ca="1">N6+N7-N8-N9-N10-N11-N12-N13</f>
        <v>0</v>
      </c>
      <c r="O15" s="42"/>
    </row>
    <row r="16" spans="1:18" ht="14.25">
      <c r="A16" s="16" t="s">
        <v>64</v>
      </c>
      <c r="B16" s="1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22" ht="15">
      <c r="A17" s="14"/>
      <c r="B17" s="15" t="s">
        <v>18</v>
      </c>
      <c r="C17" s="44">
        <f ca="1">+C6+C7-C8-C9-C10-C11-C13</f>
        <v>22760743.422121223</v>
      </c>
      <c r="D17" s="44">
        <f ca="1">D6+D7-D8-D9-D10-D11-D12-D13</f>
        <v>-6769465.9000000115</v>
      </c>
      <c r="E17" s="44">
        <f t="shared" ref="E17:I17" ca="1" si="1">+E6+E7-E8-E9-E10-E11-E13</f>
        <v>37760743.422121242</v>
      </c>
      <c r="F17" s="44">
        <f ca="1">F6+F7-F8-F9-F10-F11-F12-F13</f>
        <v>25330449.160000004</v>
      </c>
      <c r="G17" s="44">
        <f t="shared" ca="1" si="1"/>
        <v>56377410.088787898</v>
      </c>
      <c r="H17" s="44">
        <f ca="1">H6+H7-H8-H9-H10-H11-H12-H13</f>
        <v>0</v>
      </c>
      <c r="I17" s="44">
        <f t="shared" ca="1" si="1"/>
        <v>17427410.088787884</v>
      </c>
      <c r="J17" s="44">
        <f ca="1">J6+J7-J8-J9-J10-J11-J12-J13</f>
        <v>0</v>
      </c>
      <c r="K17" s="44">
        <f ca="1">+K6+K7-K8-K9-K10-K11-K13</f>
        <v>17427410.088787884</v>
      </c>
      <c r="L17" s="44">
        <f ca="1">L6+L7-L8-L9-L10-L11-L12-L13</f>
        <v>0</v>
      </c>
      <c r="M17" s="44">
        <f ca="1">+M6+M7-M8-M9-M10-M11-M13</f>
        <v>9972630.8442424331</v>
      </c>
      <c r="N17" s="44">
        <f ca="1">N6+N7-N8-N9-N10-N11-N12-N13</f>
        <v>0</v>
      </c>
      <c r="O17" s="44">
        <f ca="1">+O6+O7-O8-O9-O10-O11-O13</f>
        <v>126535310.27060607</v>
      </c>
      <c r="Q17" s="32"/>
      <c r="S17" s="34"/>
      <c r="T17" s="35"/>
      <c r="V17" s="29"/>
    </row>
    <row r="18" spans="1:22" ht="14.25">
      <c r="A18" s="12"/>
      <c r="B18" s="13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22" ht="14.25">
      <c r="A19" s="17" t="s">
        <v>19</v>
      </c>
      <c r="B19" s="18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T19" s="37"/>
      <c r="V19" s="29"/>
    </row>
    <row r="20" spans="1:22" ht="14.25">
      <c r="A20" s="17"/>
      <c r="B20" s="13" t="s">
        <v>111</v>
      </c>
      <c r="C20" s="45">
        <f ca="1">PROYECCIONES!AU131</f>
        <v>625047.6283333333</v>
      </c>
      <c r="D20" s="45">
        <f ca="1">PROYECCIONES!AW131</f>
        <v>675219.99999999953</v>
      </c>
      <c r="E20" s="45">
        <f ca="1">PROYECCIONES!BB131</f>
        <v>625047.6283333333</v>
      </c>
      <c r="F20" s="45">
        <f ca="1">PROYECCIONES!BD131</f>
        <v>146100</v>
      </c>
      <c r="G20" s="45">
        <f ca="1">PROYECCIONES!BI131</f>
        <v>625047.6283333333</v>
      </c>
      <c r="H20" s="45">
        <f ca="1">PROYECCIONES!BK131</f>
        <v>0</v>
      </c>
      <c r="I20" s="45">
        <f ca="1">PROYECCIONES!BP131</f>
        <v>625047.6283333333</v>
      </c>
      <c r="J20" s="45">
        <f ca="1">PROYECCIONES!BR131</f>
        <v>0</v>
      </c>
      <c r="K20" s="45">
        <f ca="1">PROYECCIONES!BW131</f>
        <v>625047.6283333333</v>
      </c>
      <c r="L20" s="45">
        <f ca="1">PROYECCIONES!BY131</f>
        <v>0</v>
      </c>
      <c r="M20" s="45">
        <f ca="1">PROYECCIONES!CD131</f>
        <v>625047.6283333333</v>
      </c>
      <c r="N20" s="45">
        <f ca="1">PROYECCIONES!CF131</f>
        <v>0</v>
      </c>
      <c r="O20" s="39">
        <f t="shared" ref="O20:O36" ca="1" si="2">IFERROR(CHOOSE(MATCH(0,C20:N20,0),,C20+E20+G20+I20+K20+M20,,D20+E20+G20+I20+K20+M20,,F20+G20+I20+K20+M20,,H20+I20+K20+M20,,J20+K20+M20,,L20+M20),0)</f>
        <v>2646290.5133333332</v>
      </c>
    </row>
    <row r="21" spans="1:22" ht="14.25">
      <c r="A21" s="17"/>
      <c r="B21" s="13" t="s">
        <v>20</v>
      </c>
      <c r="C21" s="45">
        <f ca="1">PROYECCIONES!AU168</f>
        <v>495427.98500000004</v>
      </c>
      <c r="D21" s="45">
        <f ca="1">PROYECCIONES!AW168</f>
        <v>10200</v>
      </c>
      <c r="E21" s="45">
        <f ca="1">PROYECCIONES!BB168</f>
        <v>495427.98500000004</v>
      </c>
      <c r="F21" s="45">
        <f ca="1">PROYECCIONES!BD168</f>
        <v>3604</v>
      </c>
      <c r="G21" s="45">
        <f ca="1">PROYECCIONES!BI168</f>
        <v>495427.98500000004</v>
      </c>
      <c r="H21" s="45">
        <f ca="1">PROYECCIONES!BK168</f>
        <v>0</v>
      </c>
      <c r="I21" s="45">
        <f ca="1">PROYECCIONES!BP168</f>
        <v>495427.98500000004</v>
      </c>
      <c r="J21" s="45">
        <f ca="1">PROYECCIONES!BR168</f>
        <v>0</v>
      </c>
      <c r="K21" s="45">
        <f ca="1">PROYECCIONES!BW168</f>
        <v>495427.98500000004</v>
      </c>
      <c r="L21" s="45">
        <f ca="1">PROYECCIONES!BY168</f>
        <v>0</v>
      </c>
      <c r="M21" s="45">
        <f ca="1">PROYECCIONES!CD168</f>
        <v>495427.98500000004</v>
      </c>
      <c r="N21" s="45">
        <f ca="1">PROYECCIONES!CF168</f>
        <v>0</v>
      </c>
      <c r="O21" s="39">
        <f t="shared" ca="1" si="2"/>
        <v>1985315.9400000002</v>
      </c>
      <c r="V21" s="36"/>
    </row>
    <row r="22" spans="1:22" ht="14.25">
      <c r="A22" s="17"/>
      <c r="B22" s="13" t="s">
        <v>65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39">
        <f t="shared" si="2"/>
        <v>0</v>
      </c>
    </row>
    <row r="23" spans="1:22" ht="14.25">
      <c r="A23" s="12"/>
      <c r="B23" s="13" t="s">
        <v>619</v>
      </c>
      <c r="C23" s="45">
        <f ca="1">PROYECCIONES!AU155+PROYECCIONES!AU156+PROYECCIONES!AU157</f>
        <v>19249.978333333351</v>
      </c>
      <c r="D23" s="45">
        <f ca="1">PROYECCIONES!AW155+PROYECCIONES!AW156+PROYECCIONES!AW157</f>
        <v>385624.15</v>
      </c>
      <c r="E23" s="45">
        <f ca="1">PROYECCIONES!BB155+PROYECCIONES!BB156+PROYECCIONES!BB157</f>
        <v>19249.978333333351</v>
      </c>
      <c r="F23" s="45">
        <f ca="1">PROYECCIONES!BD155+PROYECCIONES!BD156+PROYECCIONES!BD157</f>
        <v>31149.620000000003</v>
      </c>
      <c r="G23" s="45">
        <f ca="1">PROYECCIONES!BI155+PROYECCIONES!BI156+PROYECCIONES!BI157</f>
        <v>19249.978333333351</v>
      </c>
      <c r="H23" s="45">
        <f ca="1">PROYECCIONES!BK155+PROYECCIONES!BK156+PROYECCIONES!BK157</f>
        <v>0</v>
      </c>
      <c r="I23" s="45">
        <f ca="1">PROYECCIONES!BP155+PROYECCIONES!BP156+PROYECCIONES!BP157</f>
        <v>19249.978333333351</v>
      </c>
      <c r="J23" s="45">
        <f ca="1">PROYECCIONES!BR155+PROYECCIONES!BR156+PROYECCIONES!BR157</f>
        <v>0</v>
      </c>
      <c r="K23" s="45">
        <f ca="1">PROYECCIONES!BW155+PROYECCIONES!BW156+PROYECCIONES!BW157</f>
        <v>19249.978333333351</v>
      </c>
      <c r="L23" s="45">
        <f ca="1">PROYECCIONES!BY155+PROYECCIONES!BY156+PROYECCIONES!BY157</f>
        <v>0</v>
      </c>
      <c r="M23" s="45">
        <f ca="1">PROYECCIONES!CD155+PROYECCIONES!CD156+PROYECCIONES!CD157</f>
        <v>19249.978333333351</v>
      </c>
      <c r="N23" s="45">
        <f ca="1">PROYECCIONES!CF155+PROYECCIONES!CF156+PROYECCIONES!CF157</f>
        <v>0</v>
      </c>
      <c r="O23" s="39">
        <f t="shared" ca="1" si="2"/>
        <v>108149.5333333334</v>
      </c>
    </row>
    <row r="24" spans="1:22" ht="14.25">
      <c r="A24" s="17"/>
      <c r="B24" s="13" t="s">
        <v>21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39">
        <f t="shared" si="2"/>
        <v>0</v>
      </c>
    </row>
    <row r="25" spans="1:22" ht="14.25">
      <c r="A25" s="17"/>
      <c r="B25" s="13" t="s">
        <v>22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39">
        <f t="shared" si="2"/>
        <v>0</v>
      </c>
    </row>
    <row r="26" spans="1:22" ht="14.25">
      <c r="A26" s="17"/>
      <c r="B26" s="13" t="s">
        <v>23</v>
      </c>
      <c r="C26" s="45">
        <f ca="1">PROYECCIONES!AU165+PROYECCIONES!AU164</f>
        <v>823988.26500000001</v>
      </c>
      <c r="D26" s="45">
        <f ca="1">PROYECCIONES!AW165+PROYECCIONES!AW164</f>
        <v>1839132.8299999996</v>
      </c>
      <c r="E26" s="45">
        <f ca="1">PROYECCIONES!BB165+PROYECCIONES!BB164</f>
        <v>823988.26500000001</v>
      </c>
      <c r="F26" s="45">
        <f ca="1">PROYECCIONES!BD165+PROYECCIONES!BD164</f>
        <v>155269.20999999996</v>
      </c>
      <c r="G26" s="45">
        <f ca="1">PROYECCIONES!BI165+PROYECCIONES!BI164</f>
        <v>823988.26500000001</v>
      </c>
      <c r="H26" s="45">
        <f ca="1">PROYECCIONES!BK165+PROYECCIONES!BK164</f>
        <v>0</v>
      </c>
      <c r="I26" s="45">
        <f ca="1">PROYECCIONES!BP165+PROYECCIONES!BP164</f>
        <v>823988.26500000001</v>
      </c>
      <c r="J26" s="45">
        <f ca="1">PROYECCIONES!BR165+PROYECCIONES!BR164</f>
        <v>0</v>
      </c>
      <c r="K26" s="45">
        <f ca="1">PROYECCIONES!BW165+PROYECCIONES!BW164</f>
        <v>823988.26500000001</v>
      </c>
      <c r="L26" s="45">
        <f ca="1">PROYECCIONES!BY165+PROYECCIONES!BY164</f>
        <v>0</v>
      </c>
      <c r="M26" s="45">
        <f ca="1">PROYECCIONES!CD165+PROYECCIONES!CD164</f>
        <v>823988.26500000001</v>
      </c>
      <c r="N26" s="45">
        <f ca="1">PROYECCIONES!CF165+PROYECCIONES!CF164</f>
        <v>0</v>
      </c>
      <c r="O26" s="39">
        <f t="shared" ca="1" si="2"/>
        <v>3451222.27</v>
      </c>
    </row>
    <row r="27" spans="1:22" ht="14.25">
      <c r="A27" s="17"/>
      <c r="B27" s="13" t="s">
        <v>24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39">
        <f t="shared" si="2"/>
        <v>0</v>
      </c>
    </row>
    <row r="28" spans="1:22" ht="14.25">
      <c r="A28" s="16"/>
      <c r="B28" s="13" t="s">
        <v>25</v>
      </c>
      <c r="C28" s="45">
        <f ca="1">PROYECCIONES!AU154</f>
        <v>64959.763333333336</v>
      </c>
      <c r="D28" s="45">
        <f ca="1">PROYECCIONES!AW154</f>
        <v>0</v>
      </c>
      <c r="E28" s="45">
        <f ca="1">PROYECCIONES!BB154</f>
        <v>64959.763333333336</v>
      </c>
      <c r="F28" s="45">
        <f ca="1">PROYECCIONES!BD154</f>
        <v>385768.45</v>
      </c>
      <c r="G28" s="45">
        <f ca="1">PROYECCIONES!BI154</f>
        <v>64959.763333333336</v>
      </c>
      <c r="H28" s="45">
        <f ca="1">PROYECCIONES!BK154</f>
        <v>0</v>
      </c>
      <c r="I28" s="45">
        <f ca="1">PROYECCIONES!BP154</f>
        <v>64959.763333333336</v>
      </c>
      <c r="J28" s="45">
        <f ca="1">PROYECCIONES!BR154</f>
        <v>0</v>
      </c>
      <c r="K28" s="45">
        <f ca="1">PROYECCIONES!BW154</f>
        <v>64959.763333333336</v>
      </c>
      <c r="L28" s="45">
        <f ca="1">PROYECCIONES!BY154</f>
        <v>0</v>
      </c>
      <c r="M28" s="45">
        <f ca="1">PROYECCIONES!CD154</f>
        <v>64959.763333333336</v>
      </c>
      <c r="N28" s="45">
        <f ca="1">PROYECCIONES!CF154</f>
        <v>0</v>
      </c>
      <c r="O28" s="39">
        <f t="shared" ca="1" si="2"/>
        <v>389758.57999999996</v>
      </c>
    </row>
    <row r="29" spans="1:22" ht="14.25">
      <c r="A29" s="16"/>
      <c r="B29" s="13" t="s">
        <v>26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39">
        <f t="shared" si="2"/>
        <v>0</v>
      </c>
    </row>
    <row r="30" spans="1:22" ht="14.25">
      <c r="A30" s="14"/>
      <c r="B30" s="19" t="s">
        <v>27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39">
        <f t="shared" si="2"/>
        <v>0</v>
      </c>
    </row>
    <row r="31" spans="1:22" ht="14.25">
      <c r="A31" s="12"/>
      <c r="B31" s="13" t="s">
        <v>432</v>
      </c>
      <c r="C31" s="45">
        <f ca="1">PROYECCIONES!AU132+PROYECCIONES!AU126+PROYECCIONES!AU122+PROYECCIONES!AU120+PROYECCIONES!AU114</f>
        <v>0</v>
      </c>
      <c r="D31" s="45">
        <f ca="1">PROYECCIONES!AW132+PROYECCIONES!AW126+PROYECCIONES!AW122+PROYECCIONES!AW120+PROYECCIONES!AW114</f>
        <v>0</v>
      </c>
      <c r="E31" s="45">
        <f ca="1">PROYECCIONES!BB132+PROYECCIONES!BB126+PROYECCIONES!BB122+PROYECCIONES!BB120+PROYECCIONES!BB114</f>
        <v>0</v>
      </c>
      <c r="F31" s="45">
        <f ca="1">PROYECCIONES!BD132+PROYECCIONES!BD126+PROYECCIONES!BD122+PROYECCIONES!BD120+PROYECCIONES!BD114</f>
        <v>0</v>
      </c>
      <c r="G31" s="45">
        <f ca="1">PROYECCIONES!BI132+PROYECCIONES!BI126+PROYECCIONES!BI122+PROYECCIONES!BI120+PROYECCIONES!BI114</f>
        <v>0</v>
      </c>
      <c r="H31" s="45">
        <f ca="1">PROYECCIONES!BK132+PROYECCIONES!BK126+PROYECCIONES!BK122+PROYECCIONES!BK120+PROYECCIONES!BK114</f>
        <v>0</v>
      </c>
      <c r="I31" s="45">
        <f ca="1">PROYECCIONES!BP132+PROYECCIONES!BP126+PROYECCIONES!BP122+PROYECCIONES!BP120+PROYECCIONES!BP114</f>
        <v>0</v>
      </c>
      <c r="J31" s="45">
        <f ca="1">PROYECCIONES!BR132+PROYECCIONES!BR126+PROYECCIONES!BR122+PROYECCIONES!BR120+PROYECCIONES!BR114</f>
        <v>0</v>
      </c>
      <c r="K31" s="45">
        <f ca="1">PROYECCIONES!BW132+PROYECCIONES!BW126+PROYECCIONES!BW122+PROYECCIONES!BW120+PROYECCIONES!BW114</f>
        <v>0</v>
      </c>
      <c r="L31" s="45">
        <f ca="1">PROYECCIONES!BY132+PROYECCIONES!BY126+PROYECCIONES!BY122+PROYECCIONES!BY120+PROYECCIONES!BY114</f>
        <v>0</v>
      </c>
      <c r="M31" s="45">
        <f ca="1">PROYECCIONES!CD132+PROYECCIONES!CD126+PROYECCIONES!CD122+PROYECCIONES!CD120+PROYECCIONES!CD114</f>
        <v>0</v>
      </c>
      <c r="N31" s="45">
        <f ca="1">PROYECCIONES!CF132+PROYECCIONES!CF126+PROYECCIONES!CF122+PROYECCIONES!CF120+PROYECCIONES!CF114</f>
        <v>0</v>
      </c>
      <c r="O31" s="39">
        <f t="shared" ca="1" si="2"/>
        <v>0</v>
      </c>
    </row>
    <row r="32" spans="1:22" ht="14.25">
      <c r="A32" s="12"/>
      <c r="B32" s="13" t="s">
        <v>28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39">
        <f t="shared" si="2"/>
        <v>0</v>
      </c>
    </row>
    <row r="33" spans="1:15" ht="14.25">
      <c r="A33" s="12"/>
      <c r="B33" s="13" t="s">
        <v>2</v>
      </c>
      <c r="C33" s="45">
        <f ca="1">PROYECCIONES!AU161</f>
        <v>724.36333333327332</v>
      </c>
      <c r="D33" s="45">
        <f ca="1">PROYECCIONES!AW161</f>
        <v>2568.5800000000199</v>
      </c>
      <c r="E33" s="45">
        <f ca="1">PROYECCIONES!BB161</f>
        <v>724.36333333327332</v>
      </c>
      <c r="F33" s="45">
        <f ca="1">PROYECCIONES!BD161</f>
        <v>447.04999999999018</v>
      </c>
      <c r="G33" s="45">
        <f ca="1">PROYECCIONES!BI161</f>
        <v>724.36333333327332</v>
      </c>
      <c r="H33" s="45">
        <f ca="1">PROYECCIONES!BK161</f>
        <v>0</v>
      </c>
      <c r="I33" s="45">
        <f ca="1">PROYECCIONES!BP161</f>
        <v>724.36333333327332</v>
      </c>
      <c r="J33" s="45">
        <f ca="1">PROYECCIONES!BR161</f>
        <v>0</v>
      </c>
      <c r="K33" s="45">
        <f ca="1">PROYECCIONES!BW161</f>
        <v>724.36333333327332</v>
      </c>
      <c r="L33" s="45">
        <f ca="1">PROYECCIONES!BY161</f>
        <v>0</v>
      </c>
      <c r="M33" s="45">
        <f ca="1">PROYECCIONES!CD161</f>
        <v>724.36333333327332</v>
      </c>
      <c r="N33" s="45">
        <f ca="1">PROYECCIONES!CF161</f>
        <v>0</v>
      </c>
      <c r="O33" s="39">
        <f t="shared" ca="1" si="2"/>
        <v>3344.503333333083</v>
      </c>
    </row>
    <row r="34" spans="1:15" ht="14.25">
      <c r="A34" s="12"/>
      <c r="B34" s="13" t="s">
        <v>29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39">
        <f t="shared" si="2"/>
        <v>0</v>
      </c>
    </row>
    <row r="35" spans="1:15" ht="14.25">
      <c r="A35" s="12"/>
      <c r="B35" s="13" t="s">
        <v>113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39">
        <f t="shared" si="2"/>
        <v>0</v>
      </c>
    </row>
    <row r="36" spans="1:15" ht="14.25">
      <c r="A36" s="12"/>
      <c r="B36" s="13" t="s">
        <v>186</v>
      </c>
      <c r="C36" s="45">
        <f>PROYECCIONES!AU159</f>
        <v>150000</v>
      </c>
      <c r="D36" s="45">
        <f ca="1">PROYECCIONES!AW159</f>
        <v>150000</v>
      </c>
      <c r="E36" s="45">
        <f>PROYECCIONES!BB159</f>
        <v>150000</v>
      </c>
      <c r="F36" s="45">
        <f ca="1">PROYECCIONES!BD159</f>
        <v>150000</v>
      </c>
      <c r="G36" s="45">
        <f>PROYECCIONES!BI159</f>
        <v>150000</v>
      </c>
      <c r="H36" s="45">
        <f ca="1">PROYECCIONES!BK159</f>
        <v>0</v>
      </c>
      <c r="I36" s="45">
        <f>PROYECCIONES!BP159</f>
        <v>150000</v>
      </c>
      <c r="J36" s="45">
        <f ca="1">PROYECCIONES!BR159</f>
        <v>0</v>
      </c>
      <c r="K36" s="45">
        <f>PROYECCIONES!BW159</f>
        <v>150000</v>
      </c>
      <c r="L36" s="45">
        <f ca="1">PROYECCIONES!BY159</f>
        <v>0</v>
      </c>
      <c r="M36" s="45">
        <f>PROYECCIONES!CD159</f>
        <v>150000</v>
      </c>
      <c r="N36" s="45">
        <f ca="1">PROYECCIONES!CF159</f>
        <v>0</v>
      </c>
      <c r="O36" s="39">
        <f t="shared" ca="1" si="2"/>
        <v>750000</v>
      </c>
    </row>
    <row r="37" spans="1:15" ht="15">
      <c r="A37" s="17" t="s">
        <v>30</v>
      </c>
      <c r="B37" s="18"/>
      <c r="C37" s="44">
        <f t="shared" ref="C37:O37" ca="1" si="3">SUM(C20:C36)</f>
        <v>2179397.9833333334</v>
      </c>
      <c r="D37" s="44">
        <f t="shared" ca="1" si="3"/>
        <v>3062745.5599999991</v>
      </c>
      <c r="E37" s="44">
        <f t="shared" ca="1" si="3"/>
        <v>2179397.9833333334</v>
      </c>
      <c r="F37" s="44">
        <f t="shared" ca="1" si="3"/>
        <v>872338.33000000007</v>
      </c>
      <c r="G37" s="44">
        <f t="shared" ca="1" si="3"/>
        <v>2179397.9833333334</v>
      </c>
      <c r="H37" s="44">
        <f t="shared" ca="1" si="3"/>
        <v>0</v>
      </c>
      <c r="I37" s="44">
        <f t="shared" ca="1" si="3"/>
        <v>2179397.9833333334</v>
      </c>
      <c r="J37" s="44">
        <f t="shared" ca="1" si="3"/>
        <v>0</v>
      </c>
      <c r="K37" s="44">
        <f t="shared" ca="1" si="3"/>
        <v>2179397.9833333334</v>
      </c>
      <c r="L37" s="44">
        <f t="shared" ca="1" si="3"/>
        <v>0</v>
      </c>
      <c r="M37" s="44">
        <f t="shared" ca="1" si="3"/>
        <v>2179397.9833333334</v>
      </c>
      <c r="N37" s="44">
        <f t="shared" ca="1" si="3"/>
        <v>0</v>
      </c>
      <c r="O37" s="44">
        <f t="shared" ca="1" si="3"/>
        <v>9334081.3399999999</v>
      </c>
    </row>
    <row r="38" spans="1:15" ht="14.25">
      <c r="A38" s="12"/>
      <c r="B38" s="13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1:15" ht="14.25">
      <c r="A39" s="17" t="s">
        <v>31</v>
      </c>
      <c r="B39" s="13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1:15" ht="14.25">
      <c r="A40" s="12"/>
      <c r="B40" s="13" t="s">
        <v>32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39">
        <f t="shared" ref="O40:O55" si="4">IFERROR(CHOOSE(MATCH(0,C40:N40,0),,C40+E40+G40+I40+K40+M40,,D40+E40+G40+I40+K40+M40,,F40+G40+I40+K40+M40,,H40+I40+K40+M40,,J40+K40+M40,,L40+M40),0)</f>
        <v>0</v>
      </c>
    </row>
    <row r="41" spans="1:15" ht="14.25">
      <c r="A41" s="12"/>
      <c r="B41" s="13" t="s">
        <v>33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39">
        <f t="shared" si="4"/>
        <v>0</v>
      </c>
    </row>
    <row r="42" spans="1:15" ht="14.25">
      <c r="A42" s="12"/>
      <c r="B42" s="13" t="s">
        <v>34</v>
      </c>
      <c r="C42" s="45">
        <f ca="1">PROYECCIONES!AU19</f>
        <v>4.1983333333337169</v>
      </c>
      <c r="D42" s="45">
        <f ca="1">PROYECCIONES!AW19</f>
        <v>2.2200000000003008</v>
      </c>
      <c r="E42" s="45">
        <f ca="1">PROYECCIONES!BB19</f>
        <v>4.1983333333337169</v>
      </c>
      <c r="F42" s="45">
        <f ca="1">PROYECCIONES!BD19</f>
        <v>3.2500000000000995</v>
      </c>
      <c r="G42" s="45">
        <f ca="1">PROYECCIONES!BI19</f>
        <v>4.1983333333337169</v>
      </c>
      <c r="H42" s="45">
        <f ca="1">PROYECCIONES!BK19</f>
        <v>0</v>
      </c>
      <c r="I42" s="45">
        <f ca="1">PROYECCIONES!BP19</f>
        <v>4.1983333333337169</v>
      </c>
      <c r="J42" s="45">
        <f ca="1">PROYECCIONES!BR19</f>
        <v>0</v>
      </c>
      <c r="K42" s="45">
        <f ca="1">PROYECCIONES!BW19</f>
        <v>4.1983333333337169</v>
      </c>
      <c r="L42" s="45">
        <f ca="1">PROYECCIONES!BY19</f>
        <v>0</v>
      </c>
      <c r="M42" s="45">
        <f ca="1">PROYECCIONES!CD19</f>
        <v>4.1983333333337169</v>
      </c>
      <c r="N42" s="45">
        <f ca="1">PROYECCIONES!CF19</f>
        <v>0</v>
      </c>
      <c r="O42" s="39">
        <f t="shared" ca="1" si="4"/>
        <v>20.043333333334967</v>
      </c>
    </row>
    <row r="43" spans="1:15" ht="14.25">
      <c r="A43" s="12"/>
      <c r="B43" s="13" t="s">
        <v>35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39">
        <f t="shared" si="4"/>
        <v>0</v>
      </c>
    </row>
    <row r="44" spans="1:15" ht="14.25">
      <c r="A44" s="12"/>
      <c r="B44" s="13" t="s">
        <v>36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39">
        <f t="shared" si="4"/>
        <v>0</v>
      </c>
    </row>
    <row r="45" spans="1:15" ht="14.25">
      <c r="A45" s="12"/>
      <c r="B45" s="13" t="s">
        <v>37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39">
        <f t="shared" si="4"/>
        <v>0</v>
      </c>
    </row>
    <row r="46" spans="1:15" ht="14.25">
      <c r="A46" s="12"/>
      <c r="B46" s="13" t="s">
        <v>38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39">
        <f t="shared" si="4"/>
        <v>0</v>
      </c>
    </row>
    <row r="47" spans="1:15" ht="13.5" customHeight="1">
      <c r="A47" s="12"/>
      <c r="B47" s="13" t="s">
        <v>39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39">
        <f t="shared" si="4"/>
        <v>0</v>
      </c>
    </row>
    <row r="48" spans="1:15" ht="14.25">
      <c r="A48" s="12"/>
      <c r="B48" s="13" t="s">
        <v>40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39">
        <f t="shared" si="4"/>
        <v>0</v>
      </c>
    </row>
    <row r="49" spans="1:15" ht="14.25">
      <c r="A49" s="12"/>
      <c r="B49" s="13" t="s">
        <v>116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39">
        <f t="shared" si="4"/>
        <v>0</v>
      </c>
    </row>
    <row r="50" spans="1:15" ht="14.25">
      <c r="A50" s="12"/>
      <c r="B50" s="13" t="s">
        <v>41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39">
        <f t="shared" si="4"/>
        <v>0</v>
      </c>
    </row>
    <row r="51" spans="1:15" ht="14.25">
      <c r="A51" s="12"/>
      <c r="B51" s="13" t="s">
        <v>42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39">
        <f t="shared" si="4"/>
        <v>0</v>
      </c>
    </row>
    <row r="52" spans="1:15" ht="14.25">
      <c r="A52" s="12"/>
      <c r="B52" s="13" t="s">
        <v>43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39">
        <f t="shared" si="4"/>
        <v>0</v>
      </c>
    </row>
    <row r="53" spans="1:15" ht="14.25">
      <c r="A53" s="12"/>
      <c r="B53" s="13" t="s">
        <v>117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39">
        <f t="shared" si="4"/>
        <v>0</v>
      </c>
    </row>
    <row r="54" spans="1:15" ht="14.25">
      <c r="A54" s="12"/>
      <c r="B54" s="13" t="s">
        <v>44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39">
        <f t="shared" si="4"/>
        <v>0</v>
      </c>
    </row>
    <row r="55" spans="1:15" ht="14.25">
      <c r="A55" s="12"/>
      <c r="B55" s="13" t="s">
        <v>45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39">
        <f t="shared" si="4"/>
        <v>0</v>
      </c>
    </row>
    <row r="56" spans="1:15" ht="15">
      <c r="A56" s="17" t="s">
        <v>46</v>
      </c>
      <c r="B56" s="1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9"/>
    </row>
    <row r="57" spans="1:15" ht="15">
      <c r="A57" s="17"/>
      <c r="B57" s="1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</row>
    <row r="58" spans="1:15" ht="15">
      <c r="A58" s="17" t="s">
        <v>47</v>
      </c>
      <c r="B58" s="1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</row>
    <row r="59" spans="1:15" ht="15">
      <c r="A59" s="17"/>
      <c r="B59" s="1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</row>
    <row r="60" spans="1:15" ht="14.25">
      <c r="A60" s="12"/>
      <c r="B60" s="13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1:15" ht="15">
      <c r="A61" s="12"/>
      <c r="B61" s="13" t="s">
        <v>48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39">
        <f t="shared" ref="O61:O62" si="5">IFERROR(CHOOSE(MATCH(0,C61:N61,0),,C61+E61+G61+I61+K61+M61,,D61+E61+G61+I61+K61+M61,,F61+G61+I61+K61+M61,,H61+I61+K61+M61,,J61+K61+M61,,L61+M61),0)</f>
        <v>0</v>
      </c>
    </row>
    <row r="62" spans="1:15" ht="14.25">
      <c r="A62" s="12"/>
      <c r="B62" s="13" t="s">
        <v>49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39">
        <f t="shared" si="5"/>
        <v>0</v>
      </c>
    </row>
    <row r="63" spans="1:15" ht="15">
      <c r="A63" s="17" t="s">
        <v>50</v>
      </c>
      <c r="B63" s="1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</row>
    <row r="64" spans="1:15" ht="14.25">
      <c r="A64" s="12"/>
      <c r="B64" s="1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</row>
    <row r="65" spans="1:16" ht="15">
      <c r="A65" s="12"/>
      <c r="B65" s="18" t="s">
        <v>51</v>
      </c>
      <c r="C65" s="44">
        <f t="shared" ref="C65:O65" ca="1" si="6">C17+C37-C56+C63</f>
        <v>24940141.405454557</v>
      </c>
      <c r="D65" s="44">
        <f t="shared" ca="1" si="6"/>
        <v>-3706720.3400000124</v>
      </c>
      <c r="E65" s="44">
        <f t="shared" ca="1" si="6"/>
        <v>39940141.405454576</v>
      </c>
      <c r="F65" s="44">
        <f t="shared" ca="1" si="6"/>
        <v>26202787.490000002</v>
      </c>
      <c r="G65" s="44">
        <f t="shared" ca="1" si="6"/>
        <v>58556808.072121233</v>
      </c>
      <c r="H65" s="44">
        <f t="shared" ca="1" si="6"/>
        <v>0</v>
      </c>
      <c r="I65" s="44">
        <f t="shared" ca="1" si="6"/>
        <v>19606808.072121218</v>
      </c>
      <c r="J65" s="44">
        <f t="shared" ca="1" si="6"/>
        <v>0</v>
      </c>
      <c r="K65" s="44">
        <f t="shared" ca="1" si="6"/>
        <v>19606808.072121218</v>
      </c>
      <c r="L65" s="44">
        <f t="shared" ca="1" si="6"/>
        <v>0</v>
      </c>
      <c r="M65" s="44">
        <f t="shared" ca="1" si="6"/>
        <v>12152028.827575766</v>
      </c>
      <c r="N65" s="44">
        <f t="shared" ca="1" si="6"/>
        <v>0</v>
      </c>
      <c r="O65" s="44">
        <f t="shared" ca="1" si="6"/>
        <v>135869391.61060607</v>
      </c>
    </row>
    <row r="66" spans="1:16" ht="15">
      <c r="A66" s="12"/>
      <c r="B66" s="20" t="s">
        <v>52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6" ht="15">
      <c r="A67" s="12"/>
      <c r="B67" s="18" t="s">
        <v>53</v>
      </c>
      <c r="C67" s="44">
        <f t="shared" ref="C67:O67" ca="1" si="7">+C65-C66</f>
        <v>24940141.405454557</v>
      </c>
      <c r="D67" s="44">
        <f t="shared" ca="1" si="7"/>
        <v>-3706720.3400000124</v>
      </c>
      <c r="E67" s="44">
        <f t="shared" ca="1" si="7"/>
        <v>39940141.405454576</v>
      </c>
      <c r="F67" s="44">
        <f t="shared" ca="1" si="7"/>
        <v>26202787.490000002</v>
      </c>
      <c r="G67" s="44">
        <f t="shared" ca="1" si="7"/>
        <v>58556808.072121233</v>
      </c>
      <c r="H67" s="44">
        <f t="shared" ca="1" si="7"/>
        <v>0</v>
      </c>
      <c r="I67" s="44">
        <f t="shared" ca="1" si="7"/>
        <v>19606808.072121218</v>
      </c>
      <c r="J67" s="44">
        <f t="shared" ca="1" si="7"/>
        <v>0</v>
      </c>
      <c r="K67" s="44">
        <f t="shared" ca="1" si="7"/>
        <v>19606808.072121218</v>
      </c>
      <c r="L67" s="44">
        <f t="shared" ca="1" si="7"/>
        <v>0</v>
      </c>
      <c r="M67" s="44">
        <f t="shared" ca="1" si="7"/>
        <v>12152028.827575766</v>
      </c>
      <c r="N67" s="44">
        <f t="shared" ca="1" si="7"/>
        <v>0</v>
      </c>
      <c r="O67" s="44">
        <f t="shared" ca="1" si="7"/>
        <v>135869391.61060607</v>
      </c>
    </row>
    <row r="68" spans="1:16" ht="15">
      <c r="A68" s="12"/>
      <c r="B68" s="1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</row>
    <row r="69" spans="1:16" s="21" customFormat="1" ht="15">
      <c r="A69" s="12"/>
      <c r="B69" s="18" t="s">
        <v>66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220"/>
    </row>
    <row r="70" spans="1:16" s="22" customFormat="1" ht="15">
      <c r="A70" s="12"/>
      <c r="B70" s="1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221"/>
    </row>
    <row r="71" spans="1:16" ht="15">
      <c r="A71" s="12"/>
      <c r="B71" s="20" t="s">
        <v>92</v>
      </c>
      <c r="C71" s="47">
        <f t="shared" ref="C71:N71" ca="1" si="8">IF(C67&gt;C69,C67,C69)</f>
        <v>24940141.405454557</v>
      </c>
      <c r="D71" s="47">
        <f t="shared" ca="1" si="8"/>
        <v>0</v>
      </c>
      <c r="E71" s="47">
        <f t="shared" ca="1" si="8"/>
        <v>39940141.405454576</v>
      </c>
      <c r="F71" s="47">
        <f t="shared" ca="1" si="8"/>
        <v>26202787.490000002</v>
      </c>
      <c r="G71" s="47">
        <f t="shared" ca="1" si="8"/>
        <v>58556808.072121233</v>
      </c>
      <c r="H71" s="47">
        <f t="shared" ca="1" si="8"/>
        <v>0</v>
      </c>
      <c r="I71" s="47">
        <f t="shared" ca="1" si="8"/>
        <v>19606808.072121218</v>
      </c>
      <c r="J71" s="47">
        <f t="shared" ca="1" si="8"/>
        <v>0</v>
      </c>
      <c r="K71" s="47">
        <f t="shared" ca="1" si="8"/>
        <v>19606808.072121218</v>
      </c>
      <c r="L71" s="47">
        <f t="shared" ca="1" si="8"/>
        <v>0</v>
      </c>
      <c r="M71" s="47">
        <f t="shared" ca="1" si="8"/>
        <v>12152028.827575766</v>
      </c>
      <c r="N71" s="47">
        <f t="shared" ca="1" si="8"/>
        <v>0</v>
      </c>
      <c r="O71" s="47">
        <f ca="1">+O65</f>
        <v>135869391.61060607</v>
      </c>
    </row>
    <row r="72" spans="1:16" ht="14.25">
      <c r="A72" s="12"/>
      <c r="B72" s="1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</row>
    <row r="73" spans="1:16" ht="15">
      <c r="A73" s="12"/>
      <c r="B73" s="18" t="s">
        <v>621</v>
      </c>
      <c r="C73" s="44">
        <f t="shared" ref="C73:O73" ca="1" si="9">+C71*$O$4</f>
        <v>8729049.4919090942</v>
      </c>
      <c r="D73" s="44">
        <f t="shared" ca="1" si="9"/>
        <v>0</v>
      </c>
      <c r="E73" s="44">
        <f t="shared" ca="1" si="9"/>
        <v>13979049.491909102</v>
      </c>
      <c r="F73" s="44">
        <f t="shared" ca="1" si="9"/>
        <v>9170975.6215000004</v>
      </c>
      <c r="G73" s="44">
        <f t="shared" ca="1" si="9"/>
        <v>20494882.82524243</v>
      </c>
      <c r="H73" s="44">
        <f t="shared" ca="1" si="9"/>
        <v>0</v>
      </c>
      <c r="I73" s="44">
        <f t="shared" ca="1" si="9"/>
        <v>6862382.8252424262</v>
      </c>
      <c r="J73" s="44">
        <f t="shared" ca="1" si="9"/>
        <v>0</v>
      </c>
      <c r="K73" s="44">
        <f t="shared" ca="1" si="9"/>
        <v>6862382.8252424262</v>
      </c>
      <c r="L73" s="44">
        <f t="shared" ca="1" si="9"/>
        <v>0</v>
      </c>
      <c r="M73" s="44">
        <f t="shared" ca="1" si="9"/>
        <v>4253210.0896515176</v>
      </c>
      <c r="N73" s="44">
        <f t="shared" ca="1" si="9"/>
        <v>0</v>
      </c>
      <c r="O73" s="44">
        <f t="shared" ca="1" si="9"/>
        <v>47554287.06371212</v>
      </c>
      <c r="P73" s="44"/>
    </row>
    <row r="74" spans="1:16" ht="15">
      <c r="A74" s="12"/>
      <c r="B74" s="20" t="s">
        <v>115</v>
      </c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>
        <f ca="1">+O73/O6</f>
        <v>0.13445386553989497</v>
      </c>
    </row>
    <row r="75" spans="1:16" ht="15">
      <c r="A75" s="12"/>
      <c r="B75" s="18" t="s">
        <v>54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</row>
    <row r="76" spans="1:16" ht="15">
      <c r="A76" s="12"/>
      <c r="B76" s="18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</row>
    <row r="77" spans="1:16" ht="15">
      <c r="A77" s="12"/>
      <c r="B77" s="18" t="s">
        <v>67</v>
      </c>
      <c r="C77" s="44">
        <f ca="1">+C73-C75</f>
        <v>8729049.4919090942</v>
      </c>
      <c r="D77" s="44">
        <f t="shared" ref="D77:O77" ca="1" si="10">+D73-D75</f>
        <v>0</v>
      </c>
      <c r="E77" s="44">
        <f t="shared" ca="1" si="10"/>
        <v>13979049.491909102</v>
      </c>
      <c r="F77" s="44">
        <f t="shared" ca="1" si="10"/>
        <v>9170975.6215000004</v>
      </c>
      <c r="G77" s="44">
        <f t="shared" ca="1" si="10"/>
        <v>20494882.82524243</v>
      </c>
      <c r="H77" s="44">
        <f t="shared" ca="1" si="10"/>
        <v>0</v>
      </c>
      <c r="I77" s="44">
        <f t="shared" ca="1" si="10"/>
        <v>6862382.8252424262</v>
      </c>
      <c r="J77" s="44">
        <f t="shared" ca="1" si="10"/>
        <v>0</v>
      </c>
      <c r="K77" s="44">
        <f t="shared" ca="1" si="10"/>
        <v>6862382.8252424262</v>
      </c>
      <c r="L77" s="44">
        <f t="shared" ca="1" si="10"/>
        <v>0</v>
      </c>
      <c r="M77" s="44">
        <f t="shared" ca="1" si="10"/>
        <v>4253210.0896515176</v>
      </c>
      <c r="N77" s="44">
        <f t="shared" ca="1" si="10"/>
        <v>0</v>
      </c>
      <c r="O77" s="44">
        <f t="shared" ca="1" si="10"/>
        <v>47554287.06371212</v>
      </c>
    </row>
    <row r="78" spans="1:16" ht="15">
      <c r="A78" s="12"/>
      <c r="B78" s="18" t="s">
        <v>55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</row>
    <row r="79" spans="1:16" ht="15">
      <c r="A79" s="12"/>
      <c r="B79" s="18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</row>
    <row r="80" spans="1:16" ht="15">
      <c r="A80" s="12"/>
      <c r="B80" s="18" t="s">
        <v>56</v>
      </c>
      <c r="C80" s="44">
        <f ca="1">C17-C77-C78</f>
        <v>14031693.930212129</v>
      </c>
      <c r="D80" s="44">
        <f t="shared" ref="D80:O80" ca="1" si="11">D17-D77-D78</f>
        <v>-6769465.9000000115</v>
      </c>
      <c r="E80" s="44">
        <f t="shared" ca="1" si="11"/>
        <v>23781693.93021214</v>
      </c>
      <c r="F80" s="44">
        <f t="shared" ca="1" si="11"/>
        <v>16159473.538500004</v>
      </c>
      <c r="G80" s="44">
        <f t="shared" ca="1" si="11"/>
        <v>35882527.263545468</v>
      </c>
      <c r="H80" s="44">
        <f t="shared" ca="1" si="11"/>
        <v>0</v>
      </c>
      <c r="I80" s="44">
        <f t="shared" ca="1" si="11"/>
        <v>10565027.263545457</v>
      </c>
      <c r="J80" s="44">
        <f t="shared" ca="1" si="11"/>
        <v>0</v>
      </c>
      <c r="K80" s="44">
        <f t="shared" ca="1" si="11"/>
        <v>10565027.263545457</v>
      </c>
      <c r="L80" s="44">
        <f t="shared" ca="1" si="11"/>
        <v>0</v>
      </c>
      <c r="M80" s="44">
        <f t="shared" ca="1" si="11"/>
        <v>5719420.7545909155</v>
      </c>
      <c r="N80" s="44">
        <f t="shared" ca="1" si="11"/>
        <v>0</v>
      </c>
      <c r="O80" s="44">
        <f t="shared" ca="1" si="11"/>
        <v>78981023.206893951</v>
      </c>
    </row>
    <row r="81" spans="1:16" ht="6" customHeight="1">
      <c r="A81" s="12"/>
      <c r="B81" s="18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</row>
    <row r="82" spans="1:16" s="26" customFormat="1" ht="31.5" customHeight="1" thickBot="1">
      <c r="A82" s="280" t="s">
        <v>57</v>
      </c>
      <c r="B82" s="281"/>
      <c r="C82" s="49">
        <f ca="1">(C77)/C17</f>
        <v>0.3835133734439144</v>
      </c>
      <c r="D82" s="49">
        <f ca="1">(D77)/D17</f>
        <v>0</v>
      </c>
      <c r="E82" s="49">
        <f t="shared" ref="E82:H82" ca="1" si="12">(E77)/E17</f>
        <v>0.37020058995236321</v>
      </c>
      <c r="F82" s="49">
        <f t="shared" ca="1" si="12"/>
        <v>0.36205341498571353</v>
      </c>
      <c r="G82" s="49">
        <f t="shared" ca="1" si="12"/>
        <v>0.36353005207166061</v>
      </c>
      <c r="H82" s="49" t="e">
        <f t="shared" ca="1" si="12"/>
        <v>#DIV/0!</v>
      </c>
      <c r="I82" s="49">
        <f ca="1">(I77)/I17</f>
        <v>0.39376951539445415</v>
      </c>
      <c r="J82" s="49" t="e">
        <f ca="1">(J77)/J17</f>
        <v>#DIV/0!</v>
      </c>
      <c r="K82" s="49">
        <f ca="1">(K77)/K17</f>
        <v>0.39376951539445415</v>
      </c>
      <c r="L82" s="49"/>
      <c r="M82" s="49">
        <f ca="1">(M77)/M17</f>
        <v>0.42648827135790879</v>
      </c>
      <c r="N82" s="49"/>
      <c r="O82" s="49">
        <f ca="1">(O77)/O17</f>
        <v>0.37581831476141642</v>
      </c>
      <c r="P82" s="222"/>
    </row>
    <row r="83" spans="1:16" ht="15.75" thickBot="1">
      <c r="A83" s="23" t="s">
        <v>58</v>
      </c>
      <c r="B83" s="24"/>
      <c r="C83" s="50">
        <f t="shared" ref="C83:G83" ca="1" si="13">(C77-C85)/C17</f>
        <v>0.3835133734439144</v>
      </c>
      <c r="D83" s="50">
        <f ca="1">(D77-D85)/D17</f>
        <v>0</v>
      </c>
      <c r="E83" s="50">
        <f t="shared" ca="1" si="13"/>
        <v>0.37020058995236321</v>
      </c>
      <c r="F83" s="50">
        <f t="shared" ca="1" si="13"/>
        <v>0.36205341498571353</v>
      </c>
      <c r="G83" s="50">
        <f t="shared" ca="1" si="13"/>
        <v>0.36353005207166061</v>
      </c>
      <c r="H83" s="50" t="e">
        <f t="shared" ref="H83:K83" ca="1" si="14">(H77-H85)/H17</f>
        <v>#DIV/0!</v>
      </c>
      <c r="I83" s="50">
        <f t="shared" ca="1" si="14"/>
        <v>0.39376951539445415</v>
      </c>
      <c r="J83" s="50" t="e">
        <f ca="1">(J77-J85)/J17</f>
        <v>#DIV/0!</v>
      </c>
      <c r="K83" s="50">
        <f t="shared" ca="1" si="14"/>
        <v>0.39376951539445415</v>
      </c>
      <c r="L83" s="50" t="e">
        <f ca="1">(L77-L85)/L17</f>
        <v>#DIV/0!</v>
      </c>
      <c r="M83" s="50">
        <f ca="1">(M77-M85)/M17</f>
        <v>0.42648827135790879</v>
      </c>
      <c r="N83" s="50" t="e">
        <f ca="1">(N77-N85)/N17</f>
        <v>#DIV/0!</v>
      </c>
      <c r="O83" s="50"/>
    </row>
    <row r="84" spans="1:16">
      <c r="B84" s="8" t="s">
        <v>187</v>
      </c>
      <c r="C84" s="25">
        <f t="shared" ref="C84:O84" si="15">C36*25%</f>
        <v>37500</v>
      </c>
      <c r="D84" s="25">
        <f t="shared" ca="1" si="15"/>
        <v>37500</v>
      </c>
      <c r="E84" s="25">
        <f t="shared" si="15"/>
        <v>37500</v>
      </c>
      <c r="F84" s="25">
        <f t="shared" ca="1" si="15"/>
        <v>37500</v>
      </c>
      <c r="G84" s="25">
        <f t="shared" si="15"/>
        <v>37500</v>
      </c>
      <c r="H84" s="25">
        <f t="shared" ca="1" si="15"/>
        <v>0</v>
      </c>
      <c r="I84" s="25">
        <f t="shared" si="15"/>
        <v>37500</v>
      </c>
      <c r="J84" s="25">
        <f t="shared" ca="1" si="15"/>
        <v>0</v>
      </c>
      <c r="K84" s="25">
        <f t="shared" si="15"/>
        <v>37500</v>
      </c>
      <c r="L84" s="25">
        <f t="shared" ca="1" si="15"/>
        <v>0</v>
      </c>
      <c r="M84" s="25">
        <f t="shared" si="15"/>
        <v>37500</v>
      </c>
      <c r="N84" s="25">
        <f t="shared" ca="1" si="15"/>
        <v>0</v>
      </c>
      <c r="O84" s="25">
        <f t="shared" ca="1" si="15"/>
        <v>187500</v>
      </c>
    </row>
    <row r="85" spans="1:16">
      <c r="B85" s="8" t="s">
        <v>68</v>
      </c>
      <c r="C85" s="25">
        <f t="shared" ref="C85:O85" si="16">+C35/2</f>
        <v>0</v>
      </c>
      <c r="D85" s="25">
        <f t="shared" si="16"/>
        <v>0</v>
      </c>
      <c r="E85" s="25">
        <f t="shared" si="16"/>
        <v>0</v>
      </c>
      <c r="F85" s="25">
        <f t="shared" si="16"/>
        <v>0</v>
      </c>
      <c r="G85" s="25">
        <f t="shared" si="16"/>
        <v>0</v>
      </c>
      <c r="H85" s="25">
        <f t="shared" si="16"/>
        <v>0</v>
      </c>
      <c r="I85" s="25">
        <f t="shared" si="16"/>
        <v>0</v>
      </c>
      <c r="J85" s="25">
        <f t="shared" si="16"/>
        <v>0</v>
      </c>
      <c r="K85" s="25">
        <f t="shared" si="16"/>
        <v>0</v>
      </c>
      <c r="L85" s="25">
        <f t="shared" si="16"/>
        <v>0</v>
      </c>
      <c r="M85" s="25">
        <f t="shared" si="16"/>
        <v>0</v>
      </c>
      <c r="N85" s="25">
        <f t="shared" si="16"/>
        <v>0</v>
      </c>
      <c r="O85" s="25">
        <f t="shared" si="16"/>
        <v>0</v>
      </c>
    </row>
    <row r="86" spans="1:16">
      <c r="B86" s="22" t="s">
        <v>70</v>
      </c>
      <c r="C86" s="25">
        <f t="shared" ref="C86:O86" si="17">+(C69*$O$4)*0.75</f>
        <v>0</v>
      </c>
      <c r="D86" s="25">
        <f t="shared" si="17"/>
        <v>0</v>
      </c>
      <c r="E86" s="25">
        <f t="shared" si="17"/>
        <v>0</v>
      </c>
      <c r="F86" s="25">
        <f t="shared" si="17"/>
        <v>0</v>
      </c>
      <c r="G86" s="25">
        <f t="shared" si="17"/>
        <v>0</v>
      </c>
      <c r="H86" s="25">
        <f t="shared" si="17"/>
        <v>0</v>
      </c>
      <c r="I86" s="25">
        <f t="shared" si="17"/>
        <v>0</v>
      </c>
      <c r="J86" s="25">
        <f t="shared" si="17"/>
        <v>0</v>
      </c>
      <c r="K86" s="25">
        <f t="shared" si="17"/>
        <v>0</v>
      </c>
      <c r="L86" s="25">
        <f t="shared" si="17"/>
        <v>0</v>
      </c>
      <c r="M86" s="25">
        <f t="shared" si="17"/>
        <v>0</v>
      </c>
      <c r="N86" s="25">
        <f t="shared" si="17"/>
        <v>0</v>
      </c>
      <c r="O86" s="25">
        <f t="shared" si="17"/>
        <v>0</v>
      </c>
    </row>
    <row r="87" spans="1:16">
      <c r="B87" s="22" t="s">
        <v>69</v>
      </c>
      <c r="C87" s="25">
        <f t="shared" ref="C87:O87" ca="1" si="18">+C73-C84-C85</f>
        <v>8691549.4919090942</v>
      </c>
      <c r="D87" s="25">
        <f t="shared" ca="1" si="18"/>
        <v>-37500</v>
      </c>
      <c r="E87" s="25">
        <f t="shared" ca="1" si="18"/>
        <v>13941549.491909102</v>
      </c>
      <c r="F87" s="25">
        <f t="shared" ca="1" si="18"/>
        <v>9133475.6215000004</v>
      </c>
      <c r="G87" s="25">
        <f t="shared" ca="1" si="18"/>
        <v>20457382.82524243</v>
      </c>
      <c r="H87" s="25">
        <f t="shared" ca="1" si="18"/>
        <v>0</v>
      </c>
      <c r="I87" s="25">
        <f t="shared" ca="1" si="18"/>
        <v>6824882.8252424262</v>
      </c>
      <c r="J87" s="25">
        <f t="shared" ca="1" si="18"/>
        <v>0</v>
      </c>
      <c r="K87" s="25">
        <f t="shared" ca="1" si="18"/>
        <v>6824882.8252424262</v>
      </c>
      <c r="L87" s="25">
        <f t="shared" ca="1" si="18"/>
        <v>0</v>
      </c>
      <c r="M87" s="25">
        <f t="shared" ca="1" si="18"/>
        <v>4215710.0896515176</v>
      </c>
      <c r="N87" s="25">
        <f t="shared" ca="1" si="18"/>
        <v>0</v>
      </c>
      <c r="O87" s="25">
        <f t="shared" ca="1" si="18"/>
        <v>47366787.06371212</v>
      </c>
    </row>
    <row r="88" spans="1:16">
      <c r="B88" s="22" t="s">
        <v>71</v>
      </c>
      <c r="C88" s="25">
        <f t="shared" ref="C88:O88" ca="1" si="19">C6*11%</f>
        <v>7298524.3466666667</v>
      </c>
      <c r="D88" s="25">
        <f t="shared" ca="1" si="19"/>
        <v>5675844.3499999996</v>
      </c>
      <c r="E88" s="25">
        <f t="shared" ca="1" si="19"/>
        <v>8948524.3466666676</v>
      </c>
      <c r="F88" s="25">
        <f t="shared" ca="1" si="19"/>
        <v>6788896.0700000003</v>
      </c>
      <c r="G88" s="25">
        <f t="shared" ca="1" si="19"/>
        <v>10996357.68</v>
      </c>
      <c r="H88" s="25">
        <f t="shared" ca="1" si="19"/>
        <v>0</v>
      </c>
      <c r="I88" s="25">
        <f t="shared" ca="1" si="19"/>
        <v>6711857.6799999997</v>
      </c>
      <c r="J88" s="25">
        <f t="shared" ca="1" si="19"/>
        <v>0</v>
      </c>
      <c r="K88" s="25">
        <f t="shared" ca="1" si="19"/>
        <v>6711857.6799999997</v>
      </c>
      <c r="L88" s="25">
        <f t="shared" ca="1" si="19"/>
        <v>0</v>
      </c>
      <c r="M88" s="25">
        <f t="shared" ca="1" si="19"/>
        <v>7696357.6799999997</v>
      </c>
      <c r="N88" s="25">
        <f t="shared" ca="1" si="19"/>
        <v>0</v>
      </c>
      <c r="O88" s="25">
        <f t="shared" ca="1" si="19"/>
        <v>38905326.789999999</v>
      </c>
    </row>
    <row r="89" spans="1:16">
      <c r="B89" s="22" t="s">
        <v>72</v>
      </c>
      <c r="C89" s="25">
        <f t="shared" ref="C89:O89" ca="1" si="20">+C6*0.8%</f>
        <v>530801.77066666668</v>
      </c>
      <c r="D89" s="25">
        <f t="shared" ca="1" si="20"/>
        <v>412788.68</v>
      </c>
      <c r="E89" s="25">
        <f t="shared" ca="1" si="20"/>
        <v>650801.77066666679</v>
      </c>
      <c r="F89" s="25">
        <f t="shared" ca="1" si="20"/>
        <v>493737.89600000001</v>
      </c>
      <c r="G89" s="25">
        <f t="shared" ca="1" si="20"/>
        <v>799735.10400000005</v>
      </c>
      <c r="H89" s="25">
        <f t="shared" ca="1" si="20"/>
        <v>0</v>
      </c>
      <c r="I89" s="25">
        <f t="shared" ca="1" si="20"/>
        <v>488135.10399999999</v>
      </c>
      <c r="J89" s="25">
        <f t="shared" ca="1" si="20"/>
        <v>0</v>
      </c>
      <c r="K89" s="25">
        <f t="shared" ca="1" si="20"/>
        <v>488135.10399999999</v>
      </c>
      <c r="L89" s="25">
        <f t="shared" ca="1" si="20"/>
        <v>0</v>
      </c>
      <c r="M89" s="25">
        <f t="shared" ca="1" si="20"/>
        <v>559735.10400000005</v>
      </c>
      <c r="N89" s="25">
        <f t="shared" ca="1" si="20"/>
        <v>0</v>
      </c>
      <c r="O89" s="25">
        <f t="shared" ca="1" si="20"/>
        <v>2829478.3119999999</v>
      </c>
    </row>
    <row r="90" spans="1:16">
      <c r="B90" s="22" t="s">
        <v>73</v>
      </c>
      <c r="C90" s="25">
        <f t="shared" ref="C90:O90" ca="1" si="21">+C87-C88-C89</f>
        <v>862223.3745757608</v>
      </c>
      <c r="D90" s="25">
        <f t="shared" ca="1" si="21"/>
        <v>-6126133.0299999993</v>
      </c>
      <c r="E90" s="25">
        <f t="shared" ca="1" si="21"/>
        <v>4342223.3745757677</v>
      </c>
      <c r="F90" s="25">
        <f t="shared" ca="1" si="21"/>
        <v>1850841.6555000001</v>
      </c>
      <c r="G90" s="25">
        <f t="shared" ca="1" si="21"/>
        <v>8661290.04124243</v>
      </c>
      <c r="H90" s="25">
        <f t="shared" ca="1" si="21"/>
        <v>0</v>
      </c>
      <c r="I90" s="25">
        <f t="shared" ca="1" si="21"/>
        <v>-375109.95875757345</v>
      </c>
      <c r="J90" s="25">
        <f t="shared" ca="1" si="21"/>
        <v>0</v>
      </c>
      <c r="K90" s="25">
        <f t="shared" ca="1" si="21"/>
        <v>-375109.95875757345</v>
      </c>
      <c r="L90" s="25">
        <f t="shared" ca="1" si="21"/>
        <v>0</v>
      </c>
      <c r="M90" s="25">
        <f t="shared" ca="1" si="21"/>
        <v>-4040382.6943484824</v>
      </c>
      <c r="N90" s="25">
        <f t="shared" ca="1" si="21"/>
        <v>0</v>
      </c>
      <c r="O90" s="25">
        <f t="shared" ca="1" si="21"/>
        <v>5631981.961712121</v>
      </c>
    </row>
    <row r="91" spans="1:16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6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spans="1:16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spans="1:16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spans="1:16"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spans="1:16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spans="3:15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3:15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spans="3:15"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spans="3:15"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spans="3:15"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spans="3:15"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spans="3:15"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spans="3:15"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spans="3:1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3:15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spans="3:15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spans="3:15"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spans="3:15"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spans="3:15"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3:15"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spans="3:15"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spans="3:15"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spans="3:15"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spans="3:15"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spans="3:15"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spans="3:15"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spans="3:15"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3:15"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spans="3:15"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3:15"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spans="3:15"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spans="3:15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3:1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spans="3:15"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3:15"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spans="3:15"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spans="3:15"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spans="3:15"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spans="3:15"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spans="3:15"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spans="3:15"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spans="3:15"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spans="3:15"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spans="3:15"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spans="3:15"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3:15"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spans="3:1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spans="3:15"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spans="3:15"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</sheetData>
  <mergeCells count="5">
    <mergeCell ref="A82:B82"/>
    <mergeCell ref="A1:C1"/>
    <mergeCell ref="A3:C3"/>
    <mergeCell ref="A4:C4"/>
    <mergeCell ref="A2:C2"/>
  </mergeCells>
  <printOptions horizontalCentered="1"/>
  <pageMargins left="0" right="0" top="0.78740157480314965" bottom="0.39370078740157483" header="0" footer="0"/>
  <pageSetup scale="7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8620-36A7-4CB7-8DE3-CEC62E6400F2}">
  <sheetPr codeName="Hoja23"/>
  <dimension ref="A1:N300"/>
  <sheetViews>
    <sheetView topLeftCell="B1" workbookViewId="0">
      <pane ySplit="2" topLeftCell="A3" activePane="bottomLeft" state="frozen"/>
      <selection activeCell="R14" sqref="R14"/>
      <selection pane="bottomLeft" activeCell="R14" sqref="R14"/>
    </sheetView>
  </sheetViews>
  <sheetFormatPr baseColWidth="10" defaultRowHeight="15"/>
  <cols>
    <col min="1" max="1" width="18.28515625" hidden="1" customWidth="1"/>
    <col min="2" max="2" width="8.85546875" style="61" customWidth="1"/>
    <col min="3" max="3" width="29.7109375" style="61" customWidth="1"/>
    <col min="4" max="4" width="12.5703125" style="184" bestFit="1" customWidth="1"/>
    <col min="5" max="6" width="12.5703125" style="184" customWidth="1"/>
    <col min="7" max="7" width="12.5703125" style="184" bestFit="1" customWidth="1"/>
    <col min="8" max="8" width="2.85546875" customWidth="1"/>
    <col min="9" max="11" width="11.42578125" hidden="1" customWidth="1"/>
    <col min="12" max="12" width="5.7109375" hidden="1" customWidth="1"/>
    <col min="13" max="13" width="11.42578125" hidden="1" customWidth="1"/>
    <col min="14" max="14" width="5.5703125" customWidth="1"/>
  </cols>
  <sheetData>
    <row r="1" spans="1:14">
      <c r="A1">
        <f>MAX(A3:A300)</f>
        <v>0</v>
      </c>
      <c r="B1" s="284" t="s">
        <v>94</v>
      </c>
      <c r="C1" s="285"/>
      <c r="D1" s="286" t="s">
        <v>265</v>
      </c>
      <c r="E1" s="288" t="s">
        <v>266</v>
      </c>
      <c r="F1" s="289"/>
      <c r="G1" s="286" t="s">
        <v>267</v>
      </c>
    </row>
    <row r="2" spans="1:14">
      <c r="B2" s="51" t="s">
        <v>268</v>
      </c>
      <c r="C2" s="51" t="s">
        <v>269</v>
      </c>
      <c r="D2" s="287"/>
      <c r="E2" s="65" t="s">
        <v>270</v>
      </c>
      <c r="F2" s="65" t="s">
        <v>271</v>
      </c>
      <c r="G2" s="287"/>
    </row>
    <row r="3" spans="1:14">
      <c r="A3">
        <f>IFERROR(IF(B3="",0,IF(VALUE(LEFT(B3,1))&gt;3,VLOOKUP(VALUE(B3),PROYECCIONES!B:D,3,FALSE),0)),1 + COUNTIF($A$2:A2,"&gt;0"))</f>
        <v>0</v>
      </c>
      <c r="B3" s="52" t="s">
        <v>358</v>
      </c>
      <c r="C3" s="52" t="s">
        <v>359</v>
      </c>
      <c r="D3" s="53">
        <v>3385</v>
      </c>
      <c r="E3" s="53">
        <v>517915</v>
      </c>
      <c r="F3" s="53">
        <v>223000</v>
      </c>
      <c r="G3" s="53">
        <v>298300</v>
      </c>
      <c r="I3">
        <f>COUNTIF(A3:A300,"&gt;0")</f>
        <v>0</v>
      </c>
      <c r="J3" t="s">
        <v>3</v>
      </c>
      <c r="K3" t="s">
        <v>223</v>
      </c>
      <c r="L3" t="s">
        <v>224</v>
      </c>
    </row>
    <row r="4" spans="1:14">
      <c r="A4">
        <f>IFERROR(IF(B4="",0,IF(VALUE(LEFT(B4,1))&gt;3,VLOOKUP(VALUE(B4),PROYECCIONES!B:D,3,FALSE),0)),1 + COUNTIF($A$2:A3,"&gt;0"))</f>
        <v>0</v>
      </c>
      <c r="B4" s="52" t="s">
        <v>272</v>
      </c>
      <c r="C4" s="52" t="s">
        <v>468</v>
      </c>
      <c r="D4" s="53">
        <v>3602229.1400008202</v>
      </c>
      <c r="E4" s="53">
        <v>64019068.25</v>
      </c>
      <c r="F4" s="53">
        <v>53026771.299999997</v>
      </c>
      <c r="G4" s="53">
        <v>14594526.0900006</v>
      </c>
      <c r="I4" s="123">
        <v>1</v>
      </c>
      <c r="J4" t="str">
        <f>IFERROR(VLOOKUP(I4,'Balance a Ene'!$A$3:$C$300,2,FALSE),"")</f>
        <v/>
      </c>
      <c r="K4" t="str">
        <f>IFERROR(VLOOKUP(I4,'Balance a Ene'!$A$3:$C$300,3,FALSE),"")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</row>
    <row r="5" spans="1:14">
      <c r="A5">
        <f>IFERROR(IF(B5="",0,IF(VALUE(LEFT(B5,1))&gt;3,VLOOKUP(VALUE(B5),PROYECCIONES!B:D,3,FALSE),0)),1 + COUNTIF($A$2:A4,"&gt;0"))</f>
        <v>0</v>
      </c>
      <c r="B5" s="52" t="s">
        <v>273</v>
      </c>
      <c r="C5" s="52" t="s">
        <v>469</v>
      </c>
      <c r="D5" s="53">
        <v>2038.61000000685</v>
      </c>
      <c r="E5" s="53">
        <v>0</v>
      </c>
      <c r="F5" s="53">
        <v>0</v>
      </c>
      <c r="G5" s="53">
        <v>2038.61000000685</v>
      </c>
      <c r="I5" s="123">
        <v>2</v>
      </c>
      <c r="J5" t="str">
        <f>IFERROR(VLOOKUP(I5,'Balance a Ene'!$A$3:$C$300,2,FALSE),"")</f>
        <v/>
      </c>
      <c r="K5" t="str">
        <f>IFERROR(VLOOKUP(I5,'Balance a Ene'!$A$3:$C$300,3,FALSE),"")</f>
        <v/>
      </c>
      <c r="L5" t="str">
        <f>IFERROR(IF(AND(VALUE(LEFT(J5,1))&gt;=6,VALUE(LEFT(J5,1))&lt;=7),_xlfn.XMATCH(VALUE(J5),PROYECCIONES!$B$1:$B$38,-1,1),_xlfn.XMATCH(VALUE(J5),PROYECCIONES!$B$1:$B$333,-1,1)),"")</f>
        <v/>
      </c>
    </row>
    <row r="6" spans="1:14">
      <c r="A6">
        <f>IFERROR(IF(B6="",0,IF(VALUE(LEFT(B6,1))&gt;3,VLOOKUP(VALUE(B6),PROYECCIONES!B:D,3,FALSE),0)),1 + COUNTIF($A$2:A5,"&gt;0"))</f>
        <v>0</v>
      </c>
      <c r="B6" s="52" t="s">
        <v>418</v>
      </c>
      <c r="C6" s="52" t="s">
        <v>470</v>
      </c>
      <c r="D6" s="53">
        <v>30748859.73</v>
      </c>
      <c r="E6" s="53">
        <v>17584000</v>
      </c>
      <c r="F6" s="53">
        <v>44855902.880000003</v>
      </c>
      <c r="G6" s="53">
        <v>3476956.8499999898</v>
      </c>
      <c r="I6" s="123">
        <v>3</v>
      </c>
      <c r="J6" t="str">
        <f>IFERROR(VLOOKUP(I6,'Balance a Ene'!$A$3:$C$300,2,FALSE),"")</f>
        <v/>
      </c>
      <c r="K6" t="str">
        <f>IFERROR(VLOOKUP(I6,'Balance a Ene'!$A$3:$C$300,3,FALSE),"")</f>
        <v/>
      </c>
      <c r="L6" t="str">
        <f>IFERROR(IF(AND(VALUE(LEFT(J6,1))&gt;=6,VALUE(LEFT(J6,1))&lt;=7),_xlfn.XMATCH(VALUE(J6),PROYECCIONES!$B$1:$B$38,-1,1),_xlfn.XMATCH(VALUE(J6),PROYECCIONES!$B$1:$B$333,-1,1)),"")</f>
        <v/>
      </c>
    </row>
    <row r="7" spans="1:14">
      <c r="A7">
        <f>IFERROR(IF(B7="",0,IF(VALUE(LEFT(B7,1))&gt;3,VLOOKUP(VALUE(B7),PROYECCIONES!B:D,3,FALSE),0)),1 + COUNTIF($A$2:A6,"&gt;0"))</f>
        <v>0</v>
      </c>
      <c r="B7" s="52" t="s">
        <v>118</v>
      </c>
      <c r="C7" s="52" t="s">
        <v>225</v>
      </c>
      <c r="D7" s="53">
        <v>38903066.089999899</v>
      </c>
      <c r="E7" s="53">
        <v>59926096.909999996</v>
      </c>
      <c r="F7" s="53">
        <v>75328956</v>
      </c>
      <c r="G7" s="53">
        <v>23500206.999999799</v>
      </c>
      <c r="I7" s="123">
        <v>4</v>
      </c>
      <c r="J7" t="str">
        <f>IFERROR(VLOOKUP(I7,'Balance a Ene'!$A$3:$C$300,2,FALSE),"")</f>
        <v/>
      </c>
      <c r="K7" t="str">
        <f>IFERROR(VLOOKUP(I7,'Balance a Ene'!$A$3:$C$300,3,FALSE),"")</f>
        <v/>
      </c>
      <c r="L7" t="str">
        <f>IFERROR(IF(AND(VALUE(LEFT(J7,1))&gt;=6,VALUE(LEFT(J7,1))&lt;=7),_xlfn.XMATCH(VALUE(J7),PROYECCIONES!$B$1:$B$38,-1,1),_xlfn.XMATCH(VALUE(J7),PROYECCIONES!$B$1:$B$333,-1,1)),"")</f>
        <v/>
      </c>
    </row>
    <row r="8" spans="1:14">
      <c r="A8">
        <f>IFERROR(IF(B8="",0,IF(VALUE(LEFT(B8,1))&gt;3,VLOOKUP(VALUE(B8),PROYECCIONES!B:D,3,FALSE),0)),1 + COUNTIF($A$2:A7,"&gt;0"))</f>
        <v>0</v>
      </c>
      <c r="B8" s="52" t="s">
        <v>274</v>
      </c>
      <c r="C8" s="52" t="s">
        <v>226</v>
      </c>
      <c r="D8" s="53">
        <v>239052845.71000001</v>
      </c>
      <c r="E8" s="53">
        <v>13726644.699999999</v>
      </c>
      <c r="F8" s="53">
        <v>5228546.6900000004</v>
      </c>
      <c r="G8" s="53">
        <v>247550943.72</v>
      </c>
      <c r="I8" s="123">
        <v>5</v>
      </c>
      <c r="J8" t="str">
        <f>IFERROR(VLOOKUP(I8,'Balance a Ene'!$A$3:$C$300,2,FALSE),"")</f>
        <v/>
      </c>
      <c r="K8" t="str">
        <f>IFERROR(VLOOKUP(I8,'Balance a Ene'!$A$3:$C$300,3,FALSE),"")</f>
        <v/>
      </c>
      <c r="L8" t="str">
        <f>IFERROR(IF(AND(VALUE(LEFT(J8,1))&gt;=6,VALUE(LEFT(J8,1))&lt;=7),_xlfn.XMATCH(VALUE(J8),PROYECCIONES!$B$1:$B$38,-1,1),_xlfn.XMATCH(VALUE(J8),PROYECCIONES!$B$1:$B$333,-1,1)),"")</f>
        <v/>
      </c>
      <c r="N8" t="s">
        <v>445</v>
      </c>
    </row>
    <row r="9" spans="1:14">
      <c r="A9">
        <f>IFERROR(IF(B9="",0,IF(VALUE(LEFT(B9,1))&gt;3,VLOOKUP(VALUE(B9),PROYECCIONES!B:D,3,FALSE),0)),1 + COUNTIF($A$2:A8,"&gt;0"))</f>
        <v>0</v>
      </c>
      <c r="B9" s="52" t="s">
        <v>275</v>
      </c>
      <c r="C9" s="52" t="s">
        <v>227</v>
      </c>
      <c r="D9" s="53">
        <v>14200000</v>
      </c>
      <c r="E9" s="53">
        <v>0</v>
      </c>
      <c r="F9" s="53">
        <v>0</v>
      </c>
      <c r="G9" s="53">
        <v>14200000</v>
      </c>
      <c r="I9" s="123">
        <v>6</v>
      </c>
      <c r="J9" t="str">
        <f>IFERROR(VLOOKUP(I9,'Balance a Ene'!$A$3:$C$300,2,FALSE),"")</f>
        <v/>
      </c>
      <c r="K9" t="str">
        <f>IFERROR(VLOOKUP(I9,'Balance a Ene'!$A$3:$C$300,3,FALSE),"")</f>
        <v/>
      </c>
      <c r="L9" t="str">
        <f>IFERROR(IF(AND(VALUE(LEFT(J9,1))&gt;=6,VALUE(LEFT(J9,1))&lt;=7),_xlfn.XMATCH(VALUE(J9),PROYECCIONES!$B$1:$B$38,-1,1),_xlfn.XMATCH(VALUE(J9),PROYECCIONES!$B$1:$B$333,-1,1)),"")</f>
        <v/>
      </c>
    </row>
    <row r="10" spans="1:14">
      <c r="A10">
        <f>IFERROR(IF(B10="",0,IF(VALUE(LEFT(B10,1))&gt;3,VLOOKUP(VALUE(B10),PROYECCIONES!B:D,3,FALSE),0)),1 + COUNTIF($A$2:A9,"&gt;0"))</f>
        <v>0</v>
      </c>
      <c r="B10" s="52" t="s">
        <v>276</v>
      </c>
      <c r="C10" s="52" t="s">
        <v>228</v>
      </c>
      <c r="D10" s="53">
        <v>35066662</v>
      </c>
      <c r="E10" s="53">
        <v>0</v>
      </c>
      <c r="F10" s="53">
        <v>0</v>
      </c>
      <c r="G10" s="53">
        <v>35066662</v>
      </c>
      <c r="I10" s="123">
        <v>7</v>
      </c>
      <c r="J10" t="str">
        <f>IFERROR(VLOOKUP(I10,'Balance a Ene'!$A$3:$C$300,2,FALSE),"")</f>
        <v/>
      </c>
      <c r="K10" t="str">
        <f>IFERROR(VLOOKUP(I10,'Balance a Ene'!$A$3:$C$300,3,FALSE),"")</f>
        <v/>
      </c>
      <c r="L10" t="str">
        <f>IFERROR(IF(AND(VALUE(LEFT(J10,1))&gt;=6,VALUE(LEFT(J10,1))&lt;=7),_xlfn.XMATCH(VALUE(J10),PROYECCIONES!$B$1:$B$38,-1,1),_xlfn.XMATCH(VALUE(J10),PROYECCIONES!$B$1:$B$333,-1,1)),"")</f>
        <v/>
      </c>
    </row>
    <row r="11" spans="1:14">
      <c r="A11">
        <f>IFERROR(IF(B11="",0,IF(VALUE(LEFT(B11,1))&gt;3,VLOOKUP(VALUE(B11),PROYECCIONES!B:D,3,FALSE),0)),1 + COUNTIF($A$2:A10,"&gt;0"))</f>
        <v>0</v>
      </c>
      <c r="B11" s="52" t="s">
        <v>277</v>
      </c>
      <c r="C11" s="52" t="s">
        <v>229</v>
      </c>
      <c r="D11" s="53">
        <v>0</v>
      </c>
      <c r="E11" s="53">
        <v>5420978</v>
      </c>
      <c r="F11" s="53">
        <v>4268994</v>
      </c>
      <c r="G11" s="53">
        <v>1151984</v>
      </c>
      <c r="I11" s="123">
        <v>8</v>
      </c>
      <c r="J11" t="str">
        <f>IFERROR(VLOOKUP(I11,'Balance a Ene'!$A$3:$C$300,2,FALSE),"")</f>
        <v/>
      </c>
      <c r="K11" t="str">
        <f>IFERROR(VLOOKUP(I11,'Balance a Ene'!$A$3:$C$300,3,FALSE),"")</f>
        <v/>
      </c>
      <c r="L11" t="str">
        <f>IFERROR(IF(AND(VALUE(LEFT(J11,1))&gt;=6,VALUE(LEFT(J11,1))&lt;=7),_xlfn.XMATCH(VALUE(J11),PROYECCIONES!$B$1:$B$38,-1,1),_xlfn.XMATCH(VALUE(J11),PROYECCIONES!$B$1:$B$333,-1,1)),"")</f>
        <v/>
      </c>
    </row>
    <row r="12" spans="1:14">
      <c r="A12">
        <f>IFERROR(IF(B12="",0,IF(VALUE(LEFT(B12,1))&gt;3,VLOOKUP(VALUE(B12),PROYECCIONES!B:D,3,FALSE),0)),1 + COUNTIF($A$2:A11,"&gt;0"))</f>
        <v>0</v>
      </c>
      <c r="B12" s="52" t="s">
        <v>278</v>
      </c>
      <c r="C12" s="52" t="s">
        <v>230</v>
      </c>
      <c r="D12" s="53">
        <v>55910253.5</v>
      </c>
      <c r="E12" s="53">
        <v>4746536</v>
      </c>
      <c r="F12" s="53">
        <v>0</v>
      </c>
      <c r="G12" s="53">
        <v>60656789.5</v>
      </c>
      <c r="I12" s="123">
        <v>9</v>
      </c>
      <c r="J12" t="str">
        <f>IFERROR(VLOOKUP(I12,'Balance a Ene'!$A$3:$C$300,2,FALSE),"")</f>
        <v/>
      </c>
      <c r="K12" t="str">
        <f>IFERROR(VLOOKUP(I12,'Balance a Ene'!$A$3:$C$300,3,FALSE),"")</f>
        <v/>
      </c>
      <c r="L12" t="str">
        <f>IFERROR(IF(AND(VALUE(LEFT(J12,1))&gt;=6,VALUE(LEFT(J12,1))&lt;=7),_xlfn.XMATCH(VALUE(J12),PROYECCIONES!$B$1:$B$38,-1,1),_xlfn.XMATCH(VALUE(J12),PROYECCIONES!$B$1:$B$333,-1,1)),"")</f>
        <v/>
      </c>
    </row>
    <row r="13" spans="1:14">
      <c r="A13">
        <f>IFERROR(IF(B13="",0,IF(VALUE(LEFT(B13,1))&gt;3,VLOOKUP(VALUE(B13),PROYECCIONES!B:D,3,FALSE),0)),1 + COUNTIF($A$2:A12,"&gt;0"))</f>
        <v>0</v>
      </c>
      <c r="B13" s="52" t="s">
        <v>425</v>
      </c>
      <c r="C13" s="52" t="s">
        <v>426</v>
      </c>
      <c r="D13" s="53">
        <v>230000</v>
      </c>
      <c r="E13" s="53">
        <v>0</v>
      </c>
      <c r="F13" s="53">
        <v>0</v>
      </c>
      <c r="G13" s="53">
        <v>230000</v>
      </c>
      <c r="I13" s="123">
        <v>10</v>
      </c>
      <c r="J13" t="str">
        <f>IFERROR(VLOOKUP(I13,'Balance a Ene'!$A$3:$C$300,2,FALSE),"")</f>
        <v/>
      </c>
      <c r="K13" t="str">
        <f>IFERROR(VLOOKUP(I13,'Balance a Ene'!$A$3:$C$300,3,FALSE),"")</f>
        <v/>
      </c>
      <c r="L13" t="str">
        <f>IFERROR(IF(AND(VALUE(LEFT(J13,1))&gt;=6,VALUE(LEFT(J13,1))&lt;=7),_xlfn.XMATCH(VALUE(J13),PROYECCIONES!$B$1:$B$38,-1,1),_xlfn.XMATCH(VALUE(J13),PROYECCIONES!$B$1:$B$333,-1,1)),"")</f>
        <v/>
      </c>
    </row>
    <row r="14" spans="1:14">
      <c r="A14">
        <f>IFERROR(IF(B14="",0,IF(VALUE(LEFT(B14,1))&gt;3,VLOOKUP(VALUE(B14),PROYECCIONES!B:D,3,FALSE),0)),1 + COUNTIF($A$2:A13,"&gt;0"))</f>
        <v>0</v>
      </c>
      <c r="B14" s="52" t="s">
        <v>454</v>
      </c>
      <c r="C14" s="52" t="s">
        <v>455</v>
      </c>
      <c r="D14" s="53">
        <v>24000</v>
      </c>
      <c r="E14" s="53">
        <v>0</v>
      </c>
      <c r="F14" s="53">
        <v>0</v>
      </c>
      <c r="G14" s="53">
        <v>24000</v>
      </c>
      <c r="I14" s="123">
        <v>11</v>
      </c>
      <c r="J14" t="str">
        <f>IFERROR(VLOOKUP(I14,'Balance a Ene'!$A$3:$C$300,2,FALSE),"")</f>
        <v/>
      </c>
      <c r="K14" t="str">
        <f>IFERROR(VLOOKUP(I14,'Balance a Ene'!$A$3:$C$300,3,FALSE),"")</f>
        <v/>
      </c>
      <c r="L14" t="str">
        <f>IFERROR(IF(AND(VALUE(LEFT(J14,1))&gt;=6,VALUE(LEFT(J14,1))&lt;=7),_xlfn.XMATCH(VALUE(J14),PROYECCIONES!$B$1:$B$38,-1,1),_xlfn.XMATCH(VALUE(J14),PROYECCIONES!$B$1:$B$333,-1,1)),"")</f>
        <v/>
      </c>
    </row>
    <row r="15" spans="1:14">
      <c r="A15">
        <f>IFERROR(IF(B15="",0,IF(VALUE(LEFT(B15,1))&gt;3,VLOOKUP(VALUE(B15),PROYECCIONES!B:D,3,FALSE),0)),1 + COUNTIF($A$2:A14,"&gt;0"))</f>
        <v>0</v>
      </c>
      <c r="B15" s="52" t="s">
        <v>279</v>
      </c>
      <c r="C15" s="52" t="s">
        <v>231</v>
      </c>
      <c r="D15" s="53">
        <v>922339.449999996</v>
      </c>
      <c r="E15" s="53">
        <v>177443</v>
      </c>
      <c r="F15" s="53">
        <v>816136</v>
      </c>
      <c r="G15" s="53">
        <v>283646.449999996</v>
      </c>
      <c r="I15" s="123">
        <v>12</v>
      </c>
      <c r="J15" t="str">
        <f>IFERROR(VLOOKUP(I15,'Balance a Ene'!$A$3:$C$300,2,FALSE),"")</f>
        <v/>
      </c>
      <c r="K15" t="str">
        <f>IFERROR(VLOOKUP(I15,'Balance a Ene'!$A$3:$C$300,3,FALSE),"")</f>
        <v/>
      </c>
      <c r="L15" t="str">
        <f>IFERROR(IF(AND(VALUE(LEFT(J15,1))&gt;=6,VALUE(LEFT(J15,1))&lt;=7),_xlfn.XMATCH(VALUE(J15),PROYECCIONES!$B$1:$B$38,-1,1),_xlfn.XMATCH(VALUE(J15),PROYECCIONES!$B$1:$B$333,-1,1)),"")</f>
        <v/>
      </c>
    </row>
    <row r="16" spans="1:14">
      <c r="A16">
        <f>IFERROR(IF(B16="",0,IF(VALUE(LEFT(B16,1))&gt;3,VLOOKUP(VALUE(B16),PROYECCIONES!B:D,3,FALSE),0)),1 + COUNTIF($A$2:A15,"&gt;0"))</f>
        <v>0</v>
      </c>
      <c r="B16" s="52" t="s">
        <v>280</v>
      </c>
      <c r="C16" s="52" t="s">
        <v>232</v>
      </c>
      <c r="D16" s="53">
        <v>1595197.91</v>
      </c>
      <c r="E16" s="53">
        <v>70472</v>
      </c>
      <c r="F16" s="53">
        <v>0</v>
      </c>
      <c r="G16" s="53">
        <v>1665669.91</v>
      </c>
      <c r="I16" s="123">
        <v>13</v>
      </c>
      <c r="J16" t="str">
        <f>IFERROR(VLOOKUP(I16,'Balance a Ene'!$A$3:$C$300,2,FALSE),"")</f>
        <v/>
      </c>
      <c r="K16" t="str">
        <f>IFERROR(VLOOKUP(I16,'Balance a Ene'!$A$3:$C$300,3,FALSE),"")</f>
        <v/>
      </c>
      <c r="L16" t="str">
        <f>IFERROR(IF(AND(VALUE(LEFT(J16,1))&gt;=6,VALUE(LEFT(J16,1))&lt;=7),_xlfn.XMATCH(VALUE(J16),PROYECCIONES!$B$1:$B$38,-1,1),_xlfn.XMATCH(VALUE(J16),PROYECCIONES!$B$1:$B$333,-1,1)),"")</f>
        <v/>
      </c>
    </row>
    <row r="17" spans="1:12">
      <c r="A17">
        <f>IFERROR(IF(B17="",0,IF(VALUE(LEFT(B17,1))&gt;3,VLOOKUP(VALUE(B17),PROYECCIONES!B:D,3,FALSE),0)),1 + COUNTIF($A$2:A16,"&gt;0"))</f>
        <v>0</v>
      </c>
      <c r="B17" s="52" t="s">
        <v>281</v>
      </c>
      <c r="C17" s="52" t="s">
        <v>233</v>
      </c>
      <c r="D17" s="53">
        <v>0</v>
      </c>
      <c r="E17" s="53">
        <v>12360</v>
      </c>
      <c r="F17" s="53">
        <v>0</v>
      </c>
      <c r="G17" s="53">
        <v>12360</v>
      </c>
      <c r="I17" s="123">
        <v>14</v>
      </c>
      <c r="J17" t="str">
        <f>IFERROR(VLOOKUP(I17,'Balance a Ene'!$A$3:$C$300,2,FALSE),"")</f>
        <v/>
      </c>
      <c r="K17" t="str">
        <f>IFERROR(VLOOKUP(I17,'Balance a Ene'!$A$3:$C$300,3,FALSE),"")</f>
        <v/>
      </c>
      <c r="L17" t="str">
        <f>IFERROR(IF(AND(VALUE(LEFT(J17,1))&gt;=6,VALUE(LEFT(J17,1))&lt;=7),_xlfn.XMATCH(VALUE(J17),PROYECCIONES!$B$1:$B$38,-1,1),_xlfn.XMATCH(VALUE(J17),PROYECCIONES!$B$1:$B$333,-1,1)),"")</f>
        <v/>
      </c>
    </row>
    <row r="18" spans="1:12">
      <c r="A18">
        <f>IFERROR(IF(B18="",0,IF(VALUE(LEFT(B18,1))&gt;3,VLOOKUP(VALUE(B18),PROYECCIONES!B:D,3,FALSE),0)),1 + COUNTIF($A$2:A17,"&gt;0"))</f>
        <v>0</v>
      </c>
      <c r="B18" s="52" t="s">
        <v>405</v>
      </c>
      <c r="C18" s="52" t="s">
        <v>406</v>
      </c>
      <c r="D18" s="53">
        <v>0</v>
      </c>
      <c r="E18" s="53">
        <v>6600</v>
      </c>
      <c r="F18" s="53">
        <v>0</v>
      </c>
      <c r="G18" s="53">
        <v>6600</v>
      </c>
      <c r="I18" s="123">
        <v>15</v>
      </c>
      <c r="J18" t="str">
        <f>IFERROR(VLOOKUP(I18,'Balance a Ene'!$A$3:$C$300,2,FALSE),"")</f>
        <v/>
      </c>
      <c r="K18" t="str">
        <f>IFERROR(VLOOKUP(I18,'Balance a Ene'!$A$3:$C$300,3,FALSE),"")</f>
        <v/>
      </c>
      <c r="L18" t="str">
        <f>IFERROR(IF(AND(VALUE(LEFT(J18,1))&gt;=6,VALUE(LEFT(J18,1))&lt;=7),_xlfn.XMATCH(VALUE(J18),PROYECCIONES!$B$1:$B$38,-1,1),_xlfn.XMATCH(VALUE(J18),PROYECCIONES!$B$1:$B$333,-1,1)),"")</f>
        <v/>
      </c>
    </row>
    <row r="19" spans="1:12">
      <c r="A19">
        <f>IFERROR(IF(B19="",0,IF(VALUE(LEFT(B19,1))&gt;3,VLOOKUP(VALUE(B19),PROYECCIONES!B:D,3,FALSE),0)),1 + COUNTIF($A$2:A18,"&gt;0"))</f>
        <v>0</v>
      </c>
      <c r="B19" s="52" t="s">
        <v>427</v>
      </c>
      <c r="C19" s="52" t="s">
        <v>428</v>
      </c>
      <c r="D19" s="53">
        <v>251700</v>
      </c>
      <c r="E19" s="53">
        <v>19480</v>
      </c>
      <c r="F19" s="53">
        <v>0</v>
      </c>
      <c r="G19" s="53">
        <v>271180</v>
      </c>
    </row>
    <row r="20" spans="1:12">
      <c r="A20">
        <f>IFERROR(IF(B20="",0,IF(VALUE(LEFT(B20,1))&gt;3,VLOOKUP(VALUE(B20),PROYECCIONES!B:D,3,FALSE),0)),1 + COUNTIF($A$2:A19,"&gt;0"))</f>
        <v>0</v>
      </c>
      <c r="B20" s="52" t="s">
        <v>435</v>
      </c>
      <c r="C20" s="52" t="s">
        <v>436</v>
      </c>
      <c r="D20" s="53">
        <v>3625000</v>
      </c>
      <c r="E20" s="53">
        <v>0</v>
      </c>
      <c r="F20" s="53">
        <v>0</v>
      </c>
      <c r="G20" s="53">
        <v>3625000</v>
      </c>
    </row>
    <row r="21" spans="1:12">
      <c r="A21">
        <f>IFERROR(IF(B21="",0,IF(VALUE(LEFT(B21,1))&gt;3,VLOOKUP(VALUE(B21),PROYECCIONES!B:D,3,FALSE),0)),1 + COUNTIF($A$2:A20,"&gt;0"))</f>
        <v>0</v>
      </c>
      <c r="B21" s="52" t="s">
        <v>377</v>
      </c>
      <c r="C21" s="52" t="s">
        <v>373</v>
      </c>
      <c r="D21" s="53">
        <v>4742306</v>
      </c>
      <c r="E21" s="53">
        <v>421734</v>
      </c>
      <c r="F21" s="53">
        <v>0</v>
      </c>
      <c r="G21" s="53">
        <v>5164040</v>
      </c>
    </row>
    <row r="22" spans="1:12">
      <c r="A22">
        <f>IFERROR(IF(B22="",0,IF(VALUE(LEFT(B22,1))&gt;3,VLOOKUP(VALUE(B22),PROYECCIONES!B:D,3,FALSE),0)),1 + COUNTIF($A$2:A21,"&gt;0"))</f>
        <v>0</v>
      </c>
      <c r="B22" s="52" t="s">
        <v>360</v>
      </c>
      <c r="C22" s="52" t="s">
        <v>361</v>
      </c>
      <c r="D22" s="53">
        <v>2530000</v>
      </c>
      <c r="E22" s="53">
        <v>220000</v>
      </c>
      <c r="F22" s="53">
        <v>0</v>
      </c>
      <c r="G22" s="53">
        <v>2750000</v>
      </c>
    </row>
    <row r="23" spans="1:12">
      <c r="A23">
        <f>IFERROR(IF(B23="",0,IF(VALUE(LEFT(B23,1))&gt;3,VLOOKUP(VALUE(B23),PROYECCIONES!B:D,3,FALSE),0)),1 + COUNTIF($A$2:A22,"&gt;0"))</f>
        <v>0</v>
      </c>
      <c r="B23" s="52" t="s">
        <v>282</v>
      </c>
      <c r="C23" s="52" t="s">
        <v>234</v>
      </c>
      <c r="D23" s="53">
        <v>43467544</v>
      </c>
      <c r="E23" s="53">
        <v>0</v>
      </c>
      <c r="F23" s="53">
        <v>0</v>
      </c>
      <c r="G23" s="53">
        <v>43467544</v>
      </c>
    </row>
    <row r="24" spans="1:12">
      <c r="A24">
        <f>IFERROR(IF(B24="",0,IF(VALUE(LEFT(B24,1))&gt;3,VLOOKUP(VALUE(B24),PROYECCIONES!B:D,3,FALSE),0)),1 + COUNTIF($A$2:A23,"&gt;0"))</f>
        <v>0</v>
      </c>
      <c r="B24" s="52" t="s">
        <v>471</v>
      </c>
      <c r="C24" s="52" t="s">
        <v>472</v>
      </c>
      <c r="D24" s="53">
        <v>0</v>
      </c>
      <c r="E24" s="53">
        <v>181000</v>
      </c>
      <c r="F24" s="53">
        <v>0</v>
      </c>
      <c r="G24" s="53">
        <v>181000</v>
      </c>
    </row>
    <row r="25" spans="1:12">
      <c r="A25">
        <f>IFERROR(IF(B25="",0,IF(VALUE(LEFT(B25,1))&gt;3,VLOOKUP(VALUE(B25),PROYECCIONES!B:D,3,FALSE),0)),1 + COUNTIF($A$2:A24,"&gt;0"))</f>
        <v>0</v>
      </c>
      <c r="B25" s="52" t="s">
        <v>283</v>
      </c>
      <c r="C25" s="52" t="s">
        <v>235</v>
      </c>
      <c r="D25" s="53">
        <v>31548323.850000001</v>
      </c>
      <c r="E25" s="53">
        <v>0</v>
      </c>
      <c r="F25" s="53">
        <v>400000</v>
      </c>
      <c r="G25" s="53">
        <v>31148323.850000001</v>
      </c>
    </row>
    <row r="26" spans="1:12">
      <c r="A26">
        <f>IFERROR(IF(B26="",0,IF(VALUE(LEFT(B26,1))&gt;3,VLOOKUP(VALUE(B26),PROYECCIONES!B:D,3,FALSE),0)),1 + COUNTIF($A$2:A25,"&gt;0"))</f>
        <v>0</v>
      </c>
      <c r="B26" s="52" t="s">
        <v>378</v>
      </c>
      <c r="C26" s="52" t="s">
        <v>379</v>
      </c>
      <c r="D26" s="53">
        <v>900000</v>
      </c>
      <c r="E26" s="53">
        <v>0</v>
      </c>
      <c r="F26" s="53">
        <v>0</v>
      </c>
      <c r="G26" s="53">
        <v>900000</v>
      </c>
    </row>
    <row r="27" spans="1:12">
      <c r="A27">
        <f>IFERROR(IF(B27="",0,IF(VALUE(LEFT(B27,1))&gt;3,VLOOKUP(VALUE(B27),PROYECCIONES!B:D,3,FALSE),0)),1 + COUNTIF($A$2:A26,"&gt;0"))</f>
        <v>0</v>
      </c>
      <c r="B27" s="52" t="s">
        <v>284</v>
      </c>
      <c r="C27" s="52" t="s">
        <v>236</v>
      </c>
      <c r="D27" s="53">
        <v>50000</v>
      </c>
      <c r="E27" s="53">
        <v>201427.34</v>
      </c>
      <c r="F27" s="53">
        <v>20000</v>
      </c>
      <c r="G27" s="53">
        <v>231427.34</v>
      </c>
    </row>
    <row r="28" spans="1:12">
      <c r="A28">
        <f>IFERROR(IF(B28="",0,IF(VALUE(LEFT(B28,1))&gt;3,VLOOKUP(VALUE(B28),PROYECCIONES!B:D,3,FALSE),0)),1 + COUNTIF($A$2:A27,"&gt;0"))</f>
        <v>0</v>
      </c>
      <c r="B28" s="52" t="s">
        <v>285</v>
      </c>
      <c r="C28" s="52" t="s">
        <v>237</v>
      </c>
      <c r="D28" s="53">
        <v>18023845.800000001</v>
      </c>
      <c r="E28" s="53">
        <v>0</v>
      </c>
      <c r="F28" s="53">
        <v>0</v>
      </c>
      <c r="G28" s="53">
        <v>18023845.800000001</v>
      </c>
    </row>
    <row r="29" spans="1:12">
      <c r="A29">
        <f>IFERROR(IF(B29="",0,IF(VALUE(LEFT(B29,1))&gt;3,VLOOKUP(VALUE(B29),PROYECCIONES!B:D,3,FALSE),0)),1 + COUNTIF($A$2:A28,"&gt;0"))</f>
        <v>0</v>
      </c>
      <c r="B29" s="52" t="s">
        <v>286</v>
      </c>
      <c r="C29" s="52" t="s">
        <v>238</v>
      </c>
      <c r="D29" s="53">
        <v>61490000</v>
      </c>
      <c r="E29" s="53">
        <v>0</v>
      </c>
      <c r="F29" s="53">
        <v>0</v>
      </c>
      <c r="G29" s="53">
        <v>61490000</v>
      </c>
    </row>
    <row r="30" spans="1:12">
      <c r="A30">
        <f>IFERROR(IF(B30="",0,IF(VALUE(LEFT(B30,1))&gt;3,VLOOKUP(VALUE(B30),PROYECCIONES!B:D,3,FALSE),0)),1 + COUNTIF($A$2:A29,"&gt;0"))</f>
        <v>0</v>
      </c>
      <c r="B30" s="52" t="s">
        <v>287</v>
      </c>
      <c r="C30" s="52" t="s">
        <v>239</v>
      </c>
      <c r="D30" s="53">
        <v>-6028466.0099999998</v>
      </c>
      <c r="E30" s="53">
        <v>0</v>
      </c>
      <c r="F30" s="53">
        <v>211638.28</v>
      </c>
      <c r="G30" s="53">
        <v>-6240104.29</v>
      </c>
    </row>
    <row r="31" spans="1:12">
      <c r="A31">
        <f>IFERROR(IF(B31="",0,IF(VALUE(LEFT(B31,1))&gt;3,VLOOKUP(VALUE(B31),PROYECCIONES!B:D,3,FALSE),0)),1 + COUNTIF($A$2:A30,"&gt;0"))</f>
        <v>0</v>
      </c>
      <c r="B31" s="52" t="s">
        <v>288</v>
      </c>
      <c r="C31" s="52" t="s">
        <v>240</v>
      </c>
      <c r="D31" s="53">
        <v>-1588491.73</v>
      </c>
      <c r="E31" s="53">
        <v>0</v>
      </c>
      <c r="F31" s="53">
        <v>512416.67</v>
      </c>
      <c r="G31" s="53">
        <v>-2100908.4</v>
      </c>
    </row>
    <row r="32" spans="1:12">
      <c r="A32">
        <f>IFERROR(IF(B32="",0,IF(VALUE(LEFT(B32,1))&gt;3,VLOOKUP(VALUE(B32),PROYECCIONES!B:D,3,FALSE),0)),1 + COUNTIF($A$2:A31,"&gt;0"))</f>
        <v>0</v>
      </c>
      <c r="B32" s="52" t="s">
        <v>289</v>
      </c>
      <c r="C32" s="52" t="s">
        <v>241</v>
      </c>
      <c r="D32" s="53">
        <v>880262</v>
      </c>
      <c r="E32" s="53">
        <v>0</v>
      </c>
      <c r="F32" s="53">
        <v>0</v>
      </c>
      <c r="G32" s="53">
        <v>880262</v>
      </c>
    </row>
    <row r="33" spans="1:7">
      <c r="A33">
        <f>IFERROR(IF(B33="",0,IF(VALUE(LEFT(B33,1))&gt;3,VLOOKUP(VALUE(B33),PROYECCIONES!B:D,3,FALSE),0)),1 + COUNTIF($A$2:A32,"&gt;0"))</f>
        <v>0</v>
      </c>
      <c r="B33" s="52" t="s">
        <v>290</v>
      </c>
      <c r="C33" s="52" t="s">
        <v>242</v>
      </c>
      <c r="D33" s="53">
        <v>-880262</v>
      </c>
      <c r="E33" s="53">
        <v>0</v>
      </c>
      <c r="F33" s="53">
        <v>0</v>
      </c>
      <c r="G33" s="53">
        <v>-880262</v>
      </c>
    </row>
    <row r="34" spans="1:7">
      <c r="A34">
        <f>IFERROR(IF(B34="",0,IF(VALUE(LEFT(B34,1))&gt;3,VLOOKUP(VALUE(B34),PROYECCIONES!B:D,3,FALSE),0)),1 + COUNTIF($A$2:A33,"&gt;0"))</f>
        <v>0</v>
      </c>
      <c r="B34" s="52" t="s">
        <v>473</v>
      </c>
      <c r="C34" s="52" t="s">
        <v>474</v>
      </c>
      <c r="D34" s="53">
        <v>1653107</v>
      </c>
      <c r="E34" s="53">
        <v>0</v>
      </c>
      <c r="F34" s="53">
        <v>115003</v>
      </c>
      <c r="G34" s="53">
        <v>1538104</v>
      </c>
    </row>
    <row r="35" spans="1:7">
      <c r="A35">
        <f>IFERROR(IF(B35="",0,IF(VALUE(LEFT(B35,1))&gt;3,VLOOKUP(VALUE(B35),PROYECCIONES!B:D,3,FALSE),0)),1 + COUNTIF($A$2:A34,"&gt;0"))</f>
        <v>0</v>
      </c>
      <c r="B35" s="52" t="s">
        <v>520</v>
      </c>
      <c r="C35" s="52" t="s">
        <v>229</v>
      </c>
      <c r="D35" s="53">
        <v>0</v>
      </c>
      <c r="E35" s="53">
        <v>35500</v>
      </c>
      <c r="F35" s="53">
        <v>0</v>
      </c>
      <c r="G35" s="53">
        <v>35500</v>
      </c>
    </row>
    <row r="36" spans="1:7">
      <c r="A36">
        <f>IFERROR(IF(B36="",0,IF(VALUE(LEFT(B36,1))&gt;3,VLOOKUP(VALUE(B36),PROYECCIONES!B:D,3,FALSE),0)),1 + COUNTIF($A$2:A35,"&gt;0"))</f>
        <v>0</v>
      </c>
      <c r="B36" s="52" t="s">
        <v>380</v>
      </c>
      <c r="C36" s="52" t="s">
        <v>374</v>
      </c>
      <c r="D36" s="53">
        <v>-87720410.230000004</v>
      </c>
      <c r="E36" s="53">
        <v>607254</v>
      </c>
      <c r="F36" s="53">
        <v>270777.77</v>
      </c>
      <c r="G36" s="53">
        <v>-87383934</v>
      </c>
    </row>
    <row r="37" spans="1:7">
      <c r="A37">
        <f>IFERROR(IF(B37="",0,IF(VALUE(LEFT(B37,1))&gt;3,VLOOKUP(VALUE(B37),PROYECCIONES!B:D,3,FALSE),0)),1 + COUNTIF($A$2:A36,"&gt;0"))</f>
        <v>0</v>
      </c>
      <c r="B37" s="52" t="s">
        <v>291</v>
      </c>
      <c r="C37" s="52" t="s">
        <v>243</v>
      </c>
      <c r="D37" s="53">
        <v>-427500</v>
      </c>
      <c r="E37" s="53">
        <v>3216050</v>
      </c>
      <c r="F37" s="53">
        <v>5306750</v>
      </c>
      <c r="G37" s="53">
        <v>-2518200</v>
      </c>
    </row>
    <row r="38" spans="1:7">
      <c r="A38">
        <f>IFERROR(IF(B38="",0,IF(VALUE(LEFT(B38,1))&gt;3,VLOOKUP(VALUE(B38),PROYECCIONES!B:D,3,FALSE),0)),1 + COUNTIF($A$2:A37,"&gt;0"))</f>
        <v>0</v>
      </c>
      <c r="B38" s="52" t="s">
        <v>292</v>
      </c>
      <c r="C38" s="52" t="s">
        <v>244</v>
      </c>
      <c r="D38" s="53">
        <v>0</v>
      </c>
      <c r="E38" s="53">
        <v>150000</v>
      </c>
      <c r="F38" s="53">
        <v>150000</v>
      </c>
      <c r="G38" s="53">
        <v>0</v>
      </c>
    </row>
    <row r="39" spans="1:7">
      <c r="A39">
        <f>IFERROR(IF(B39="",0,IF(VALUE(LEFT(B39,1))&gt;3,VLOOKUP(VALUE(B39),PROYECCIONES!B:D,3,FALSE),0)),1 + COUNTIF($A$2:A38,"&gt;0"))</f>
        <v>0</v>
      </c>
      <c r="B39" s="52" t="s">
        <v>293</v>
      </c>
      <c r="C39" s="52" t="s">
        <v>245</v>
      </c>
      <c r="D39" s="53">
        <v>0</v>
      </c>
      <c r="E39" s="53">
        <v>1449811</v>
      </c>
      <c r="F39" s="53">
        <v>1449811</v>
      </c>
      <c r="G39" s="53">
        <v>0</v>
      </c>
    </row>
    <row r="40" spans="1:7">
      <c r="A40">
        <f>IFERROR(IF(B40="",0,IF(VALUE(LEFT(B40,1))&gt;3,VLOOKUP(VALUE(B40),PROYECCIONES!B:D,3,FALSE),0)),1 + COUNTIF($A$2:A39,"&gt;0"))</f>
        <v>0</v>
      </c>
      <c r="B40" s="52" t="s">
        <v>294</v>
      </c>
      <c r="C40" s="52" t="s">
        <v>246</v>
      </c>
      <c r="D40" s="53">
        <v>-259026</v>
      </c>
      <c r="E40" s="53">
        <v>1031420.01</v>
      </c>
      <c r="F40" s="53">
        <v>772394.01</v>
      </c>
      <c r="G40" s="53">
        <v>0</v>
      </c>
    </row>
    <row r="41" spans="1:7">
      <c r="A41">
        <f>IFERROR(IF(B41="",0,IF(VALUE(LEFT(B41,1))&gt;3,VLOOKUP(VALUE(B41),PROYECCIONES!B:D,3,FALSE),0)),1 + COUNTIF($A$2:A40,"&gt;0"))</f>
        <v>0</v>
      </c>
      <c r="B41" s="52" t="s">
        <v>407</v>
      </c>
      <c r="C41" s="52" t="s">
        <v>408</v>
      </c>
      <c r="D41" s="53">
        <v>0</v>
      </c>
      <c r="E41" s="53">
        <v>213180</v>
      </c>
      <c r="F41" s="53">
        <v>213180</v>
      </c>
      <c r="G41" s="53">
        <v>0</v>
      </c>
    </row>
    <row r="42" spans="1:7">
      <c r="A42">
        <f>IFERROR(IF(B42="",0,IF(VALUE(LEFT(B42,1))&gt;3,VLOOKUP(VALUE(B42),PROYECCIONES!B:D,3,FALSE),0)),1 + COUNTIF($A$2:A41,"&gt;0"))</f>
        <v>0</v>
      </c>
      <c r="B42" s="52" t="s">
        <v>410</v>
      </c>
      <c r="C42" s="52" t="s">
        <v>411</v>
      </c>
      <c r="D42" s="53">
        <v>0</v>
      </c>
      <c r="E42" s="53">
        <v>115242</v>
      </c>
      <c r="F42" s="53">
        <v>115242</v>
      </c>
      <c r="G42" s="53">
        <v>0</v>
      </c>
    </row>
    <row r="43" spans="1:7">
      <c r="A43">
        <f>IFERROR(IF(B43="",0,IF(VALUE(LEFT(B43,1))&gt;3,VLOOKUP(VALUE(B43),PROYECCIONES!B:D,3,FALSE),0)),1 + COUNTIF($A$2:A42,"&gt;0"))</f>
        <v>0</v>
      </c>
      <c r="B43" s="52" t="s">
        <v>295</v>
      </c>
      <c r="C43" s="52" t="s">
        <v>247</v>
      </c>
      <c r="D43" s="53">
        <v>0</v>
      </c>
      <c r="E43" s="53">
        <v>5408110.2199999997</v>
      </c>
      <c r="F43" s="53">
        <v>5408110.2199999997</v>
      </c>
      <c r="G43" s="53">
        <v>0</v>
      </c>
    </row>
    <row r="44" spans="1:7">
      <c r="A44">
        <f>IFERROR(IF(B44="",0,IF(VALUE(LEFT(B44,1))&gt;3,VLOOKUP(VALUE(B44),PROYECCIONES!B:D,3,FALSE),0)),1 + COUNTIF($A$2:A43,"&gt;0"))</f>
        <v>0</v>
      </c>
      <c r="B44" s="52" t="s">
        <v>86</v>
      </c>
      <c r="C44" s="52" t="s">
        <v>248</v>
      </c>
      <c r="D44" s="53">
        <v>-118268.9</v>
      </c>
      <c r="E44" s="53">
        <v>112268.9</v>
      </c>
      <c r="F44" s="53">
        <v>117988</v>
      </c>
      <c r="G44" s="53">
        <v>-123988</v>
      </c>
    </row>
    <row r="45" spans="1:7">
      <c r="A45">
        <f>IFERROR(IF(B45="",0,IF(VALUE(LEFT(B45,1))&gt;3,VLOOKUP(VALUE(B45),PROYECCIONES!B:D,3,FALSE),0)),1 + COUNTIF($A$2:A44,"&gt;0"))</f>
        <v>0</v>
      </c>
      <c r="B45" s="52" t="s">
        <v>362</v>
      </c>
      <c r="C45" s="52" t="s">
        <v>592</v>
      </c>
      <c r="D45" s="53">
        <v>-20300</v>
      </c>
      <c r="E45" s="53">
        <v>20300</v>
      </c>
      <c r="F45" s="53">
        <v>0</v>
      </c>
      <c r="G45" s="53">
        <v>0</v>
      </c>
    </row>
    <row r="46" spans="1:7">
      <c r="A46">
        <f>IFERROR(IF(B46="",0,IF(VALUE(LEFT(B46,1))&gt;3,VLOOKUP(VALUE(B46),PROYECCIONES!B:D,3,FALSE),0)),1 + COUNTIF($A$2:A45,"&gt;0"))</f>
        <v>0</v>
      </c>
      <c r="B46" s="52" t="s">
        <v>88</v>
      </c>
      <c r="C46" s="52" t="s">
        <v>585</v>
      </c>
      <c r="D46" s="53">
        <v>-74424.880000000107</v>
      </c>
      <c r="E46" s="53">
        <v>74424.59</v>
      </c>
      <c r="F46" s="53">
        <v>0</v>
      </c>
      <c r="G46" s="53">
        <v>-0.29000000003725301</v>
      </c>
    </row>
    <row r="47" spans="1:7">
      <c r="A47">
        <f>IFERROR(IF(B47="",0,IF(VALUE(LEFT(B47,1))&gt;3,VLOOKUP(VALUE(B47),PROYECCIONES!B:D,3,FALSE),0)),1 + COUNTIF($A$2:A46,"&gt;0"))</f>
        <v>0</v>
      </c>
      <c r="B47" s="52" t="s">
        <v>413</v>
      </c>
      <c r="C47" s="52" t="s">
        <v>586</v>
      </c>
      <c r="D47" s="53">
        <v>0</v>
      </c>
      <c r="E47" s="53">
        <v>0</v>
      </c>
      <c r="F47" s="53">
        <v>124274.31</v>
      </c>
      <c r="G47" s="53">
        <v>-124274.31</v>
      </c>
    </row>
    <row r="48" spans="1:7">
      <c r="A48">
        <f>IFERROR(IF(B48="",0,IF(VALUE(LEFT(B48,1))&gt;3,VLOOKUP(VALUE(B48),PROYECCIONES!B:D,3,FALSE),0)),1 + COUNTIF($A$2:A47,"&gt;0"))</f>
        <v>0</v>
      </c>
      <c r="B48" s="52" t="s">
        <v>296</v>
      </c>
      <c r="C48" s="52" t="s">
        <v>249</v>
      </c>
      <c r="D48" s="53">
        <v>-83618</v>
      </c>
      <c r="E48" s="53">
        <v>41809</v>
      </c>
      <c r="F48" s="53">
        <v>41809</v>
      </c>
      <c r="G48" s="53">
        <v>-83618</v>
      </c>
    </row>
    <row r="49" spans="1:7">
      <c r="A49">
        <f>IFERROR(IF(B49="",0,IF(VALUE(LEFT(B49,1))&gt;3,VLOOKUP(VALUE(B49),PROYECCIONES!B:D,3,FALSE),0)),1 + COUNTIF($A$2:A48,"&gt;0"))</f>
        <v>0</v>
      </c>
      <c r="B49" s="52" t="s">
        <v>297</v>
      </c>
      <c r="C49" s="52" t="s">
        <v>250</v>
      </c>
      <c r="D49" s="53">
        <v>-1027152</v>
      </c>
      <c r="E49" s="53">
        <v>312109</v>
      </c>
      <c r="F49" s="53">
        <v>421734</v>
      </c>
      <c r="G49" s="53">
        <v>-1136777</v>
      </c>
    </row>
    <row r="50" spans="1:7">
      <c r="A50">
        <f>IFERROR(IF(B50="",0,IF(VALUE(LEFT(B50,1))&gt;3,VLOOKUP(VALUE(B50),PROYECCIONES!B:D,3,FALSE),0)),1 + COUNTIF($A$2:A49,"&gt;0"))</f>
        <v>0</v>
      </c>
      <c r="B50" s="52" t="s">
        <v>363</v>
      </c>
      <c r="C50" s="52" t="s">
        <v>437</v>
      </c>
      <c r="D50" s="53">
        <v>-440000</v>
      </c>
      <c r="E50" s="53">
        <v>220000</v>
      </c>
      <c r="F50" s="53">
        <v>220000</v>
      </c>
      <c r="G50" s="53">
        <v>-440000</v>
      </c>
    </row>
    <row r="51" spans="1:7">
      <c r="A51">
        <f>IFERROR(IF(B51="",0,IF(VALUE(LEFT(B51,1))&gt;3,VLOOKUP(VALUE(B51),PROYECCIONES!B:D,3,FALSE),0)),1 + COUNTIF($A$2:A50,"&gt;0"))</f>
        <v>0</v>
      </c>
      <c r="B51" s="52" t="s">
        <v>438</v>
      </c>
      <c r="C51" s="52" t="s">
        <v>439</v>
      </c>
      <c r="D51" s="53">
        <v>0</v>
      </c>
      <c r="E51" s="53">
        <v>0</v>
      </c>
      <c r="F51" s="53">
        <v>128250</v>
      </c>
      <c r="G51" s="53">
        <v>-128250</v>
      </c>
    </row>
    <row r="52" spans="1:7">
      <c r="A52">
        <f>IFERROR(IF(B52="",0,IF(VALUE(LEFT(B52,1))&gt;3,VLOOKUP(VALUE(B52),PROYECCIONES!B:D,3,FALSE),0)),1 + COUNTIF($A$2:A51,"&gt;0"))</f>
        <v>0</v>
      </c>
      <c r="B52" s="52" t="s">
        <v>381</v>
      </c>
      <c r="C52" s="52" t="s">
        <v>382</v>
      </c>
      <c r="D52" s="53">
        <v>0</v>
      </c>
      <c r="E52" s="53">
        <v>0</v>
      </c>
      <c r="F52" s="53">
        <v>118062.48</v>
      </c>
      <c r="G52" s="53">
        <v>-118062.48</v>
      </c>
    </row>
    <row r="53" spans="1:7">
      <c r="A53">
        <f>IFERROR(IF(B53="",0,IF(VALUE(LEFT(B53,1))&gt;3,VLOOKUP(VALUE(B53),PROYECCIONES!B:D,3,FALSE),0)),1 + COUNTIF($A$2:A52,"&gt;0"))</f>
        <v>0</v>
      </c>
      <c r="B53" s="52" t="s">
        <v>298</v>
      </c>
      <c r="C53" s="52" t="s">
        <v>251</v>
      </c>
      <c r="D53" s="53">
        <v>-53457.23</v>
      </c>
      <c r="E53" s="53">
        <v>0</v>
      </c>
      <c r="F53" s="53">
        <v>11945</v>
      </c>
      <c r="G53" s="53">
        <v>-65402.23</v>
      </c>
    </row>
    <row r="54" spans="1:7">
      <c r="A54">
        <f>IFERROR(IF(B54="",0,IF(VALUE(LEFT(B54,1))&gt;3,VLOOKUP(VALUE(B54),PROYECCIONES!B:D,3,FALSE),0)),1 + COUNTIF($A$2:A53,"&gt;0"))</f>
        <v>0</v>
      </c>
      <c r="B54" s="52" t="s">
        <v>383</v>
      </c>
      <c r="C54" s="52" t="s">
        <v>375</v>
      </c>
      <c r="D54" s="53">
        <v>0</v>
      </c>
      <c r="E54" s="53">
        <v>0</v>
      </c>
      <c r="F54" s="53">
        <v>6489.34</v>
      </c>
      <c r="G54" s="53">
        <v>-6489.34</v>
      </c>
    </row>
    <row r="55" spans="1:7">
      <c r="A55">
        <f>IFERROR(IF(B55="",0,IF(VALUE(LEFT(B55,1))&gt;3,VLOOKUP(VALUE(B55),PROYECCIONES!B:D,3,FALSE),0)),1 + COUNTIF($A$2:A54,"&gt;0"))</f>
        <v>0</v>
      </c>
      <c r="B55" s="52" t="s">
        <v>364</v>
      </c>
      <c r="C55" s="52" t="s">
        <v>365</v>
      </c>
      <c r="D55" s="53">
        <v>-3828</v>
      </c>
      <c r="E55" s="53">
        <v>0</v>
      </c>
      <c r="F55" s="53">
        <v>0</v>
      </c>
      <c r="G55" s="53">
        <v>-3828</v>
      </c>
    </row>
    <row r="56" spans="1:7">
      <c r="A56">
        <f>IFERROR(IF(B56="",0,IF(VALUE(LEFT(B56,1))&gt;3,VLOOKUP(VALUE(B56),PROYECCIONES!B:D,3,FALSE),0)),1 + COUNTIF($A$2:A55,"&gt;0"))</f>
        <v>0</v>
      </c>
      <c r="B56" s="52" t="s">
        <v>299</v>
      </c>
      <c r="C56" s="52" t="s">
        <v>252</v>
      </c>
      <c r="D56" s="53">
        <v>-803998</v>
      </c>
      <c r="E56" s="53">
        <v>0</v>
      </c>
      <c r="F56" s="53">
        <v>414001</v>
      </c>
      <c r="G56" s="53">
        <v>-1217999</v>
      </c>
    </row>
    <row r="57" spans="1:7">
      <c r="A57">
        <f>IFERROR(IF(B57="",0,IF(VALUE(LEFT(B57,1))&gt;3,VLOOKUP(VALUE(B57),PROYECCIONES!B:D,3,FALSE),0)),1 + COUNTIF($A$2:A56,"&gt;0"))</f>
        <v>0</v>
      </c>
      <c r="B57" s="52" t="s">
        <v>300</v>
      </c>
      <c r="C57" s="52" t="s">
        <v>253</v>
      </c>
      <c r="D57" s="53">
        <v>-72817</v>
      </c>
      <c r="E57" s="53">
        <v>0</v>
      </c>
      <c r="F57" s="53">
        <v>70470</v>
      </c>
      <c r="G57" s="53">
        <v>-143287</v>
      </c>
    </row>
    <row r="58" spans="1:7">
      <c r="A58">
        <f>IFERROR(IF(B58="",0,IF(VALUE(LEFT(B58,1))&gt;3,VLOOKUP(VALUE(B58),PROYECCIONES!B:D,3,FALSE),0)),1 + COUNTIF($A$2:A57,"&gt;0"))</f>
        <v>0</v>
      </c>
      <c r="B58" s="52" t="s">
        <v>301</v>
      </c>
      <c r="C58" s="52" t="s">
        <v>254</v>
      </c>
      <c r="D58" s="53">
        <v>-557999</v>
      </c>
      <c r="E58" s="53">
        <v>0</v>
      </c>
      <c r="F58" s="53">
        <v>540000</v>
      </c>
      <c r="G58" s="53">
        <v>-1097999</v>
      </c>
    </row>
    <row r="59" spans="1:7">
      <c r="A59">
        <f>IFERROR(IF(B59="",0,IF(VALUE(LEFT(B59,1))&gt;3,VLOOKUP(VALUE(B59),PROYECCIONES!B:D,3,FALSE),0)),1 + COUNTIF($A$2:A58,"&gt;0"))</f>
        <v>0</v>
      </c>
      <c r="B59" s="52" t="s">
        <v>302</v>
      </c>
      <c r="C59" s="52" t="s">
        <v>255</v>
      </c>
      <c r="D59" s="53">
        <v>-5483064</v>
      </c>
      <c r="E59" s="53">
        <v>326000</v>
      </c>
      <c r="F59" s="53">
        <v>2452001</v>
      </c>
      <c r="G59" s="53">
        <v>-7609065</v>
      </c>
    </row>
    <row r="60" spans="1:7">
      <c r="A60">
        <f>IFERROR(IF(B60="",0,IF(VALUE(LEFT(B60,1))&gt;3,VLOOKUP(VALUE(B60),PROYECCIONES!B:D,3,FALSE),0)),1 + COUNTIF($A$2:A59,"&gt;0"))</f>
        <v>0</v>
      </c>
      <c r="B60" s="52" t="s">
        <v>440</v>
      </c>
      <c r="C60" s="52" t="s">
        <v>441</v>
      </c>
      <c r="D60" s="53">
        <v>-28977138</v>
      </c>
      <c r="E60" s="53">
        <v>26977138</v>
      </c>
      <c r="F60" s="53">
        <v>0</v>
      </c>
      <c r="G60" s="53">
        <v>-2000000</v>
      </c>
    </row>
    <row r="61" spans="1:7">
      <c r="A61">
        <f>IFERROR(IF(B61="",0,IF(VALUE(LEFT(B61,1))&gt;3,VLOOKUP(VALUE(B61),PROYECCIONES!B:D,3,FALSE),0)),1 + COUNTIF($A$2:A60,"&gt;0"))</f>
        <v>0</v>
      </c>
      <c r="B61" s="52" t="s">
        <v>303</v>
      </c>
      <c r="C61" s="52" t="s">
        <v>256</v>
      </c>
      <c r="D61" s="53">
        <v>-3.5762786865234401E-7</v>
      </c>
      <c r="E61" s="53">
        <v>0</v>
      </c>
      <c r="F61" s="53">
        <v>10016208.720000001</v>
      </c>
      <c r="G61" s="53">
        <v>-10016208.720000399</v>
      </c>
    </row>
    <row r="62" spans="1:7">
      <c r="A62">
        <f>IFERROR(IF(B62="",0,IF(VALUE(LEFT(B62,1))&gt;3,VLOOKUP(VALUE(B62),PROYECCIONES!B:D,3,FALSE),0)),1 + COUNTIF($A$2:A61,"&gt;0"))</f>
        <v>0</v>
      </c>
      <c r="B62" s="52" t="s">
        <v>304</v>
      </c>
      <c r="C62" s="52" t="s">
        <v>257</v>
      </c>
      <c r="D62" s="53">
        <v>5.5879354476928703E-9</v>
      </c>
      <c r="E62" s="53">
        <v>400255.81</v>
      </c>
      <c r="F62" s="53">
        <v>0</v>
      </c>
      <c r="G62" s="53">
        <v>400255.81000000401</v>
      </c>
    </row>
    <row r="63" spans="1:7">
      <c r="A63">
        <f>IFERROR(IF(B63="",0,IF(VALUE(LEFT(B63,1))&gt;3,VLOOKUP(VALUE(B63),PROYECCIONES!B:D,3,FALSE),0)),1 + COUNTIF($A$2:A62,"&gt;0"))</f>
        <v>0</v>
      </c>
      <c r="B63" s="52" t="s">
        <v>305</v>
      </c>
      <c r="C63" s="52" t="s">
        <v>258</v>
      </c>
      <c r="D63" s="53">
        <v>7.4505805969238298E-9</v>
      </c>
      <c r="E63" s="53">
        <v>1233394.1000000001</v>
      </c>
      <c r="F63" s="53">
        <v>0</v>
      </c>
      <c r="G63" s="53">
        <v>1233394.1000000101</v>
      </c>
    </row>
    <row r="64" spans="1:7">
      <c r="A64">
        <f>IFERROR(IF(B64="",0,IF(VALUE(LEFT(B64,1))&gt;3,VLOOKUP(VALUE(B64),PROYECCIONES!B:D,3,FALSE),0)),1 + COUNTIF($A$2:A63,"&gt;0"))</f>
        <v>0</v>
      </c>
      <c r="B64" s="52" t="s">
        <v>384</v>
      </c>
      <c r="C64" s="52" t="s">
        <v>385</v>
      </c>
      <c r="D64" s="53">
        <v>0</v>
      </c>
      <c r="E64" s="53">
        <v>118062.48</v>
      </c>
      <c r="F64" s="53">
        <v>0</v>
      </c>
      <c r="G64" s="53">
        <v>118062.48</v>
      </c>
    </row>
    <row r="65" spans="1:7">
      <c r="A65">
        <f>IFERROR(IF(B65="",0,IF(VALUE(LEFT(B65,1))&gt;3,VLOOKUP(VALUE(B65),PROYECCIONES!B:D,3,FALSE),0)),1 + COUNTIF($A$2:A64,"&gt;0"))</f>
        <v>0</v>
      </c>
      <c r="B65" s="52" t="s">
        <v>475</v>
      </c>
      <c r="C65" s="52" t="s">
        <v>476</v>
      </c>
      <c r="D65" s="53">
        <v>-35410863.340000004</v>
      </c>
      <c r="E65" s="53">
        <v>35410863.340000004</v>
      </c>
      <c r="F65" s="53">
        <v>0</v>
      </c>
      <c r="G65" s="53">
        <v>0</v>
      </c>
    </row>
    <row r="66" spans="1:7">
      <c r="A66">
        <f>IFERROR(IF(B66="",0,IF(VALUE(LEFT(B66,1))&gt;3,VLOOKUP(VALUE(B66),PROYECCIONES!B:D,3,FALSE),0)),1 + COUNTIF($A$2:A65,"&gt;0"))</f>
        <v>0</v>
      </c>
      <c r="B66" s="52" t="s">
        <v>306</v>
      </c>
      <c r="C66" s="52" t="s">
        <v>89</v>
      </c>
      <c r="D66" s="53">
        <v>-1786000</v>
      </c>
      <c r="E66" s="53">
        <v>15260844</v>
      </c>
      <c r="F66" s="53">
        <v>13474844</v>
      </c>
      <c r="G66" s="53">
        <v>0</v>
      </c>
    </row>
    <row r="67" spans="1:7">
      <c r="A67">
        <f>IFERROR(IF(B67="",0,IF(VALUE(LEFT(B67,1))&gt;3,VLOOKUP(VALUE(B67),PROYECCIONES!B:D,3,FALSE),0)),1 + COUNTIF($A$2:A66,"&gt;0"))</f>
        <v>0</v>
      </c>
      <c r="B67" s="52" t="s">
        <v>307</v>
      </c>
      <c r="C67" s="52" t="s">
        <v>259</v>
      </c>
      <c r="D67" s="53">
        <v>-14595603</v>
      </c>
      <c r="E67" s="53">
        <v>9200000</v>
      </c>
      <c r="F67" s="53">
        <v>0</v>
      </c>
      <c r="G67" s="53">
        <v>-5395603</v>
      </c>
    </row>
    <row r="68" spans="1:7">
      <c r="A68">
        <f>IFERROR(IF(B68="",0,IF(VALUE(LEFT(B68,1))&gt;3,VLOOKUP(VALUE(B68),PROYECCIONES!B:D,3,FALSE),0)),1 + COUNTIF($A$2:A67,"&gt;0"))</f>
        <v>0</v>
      </c>
      <c r="B68" s="52" t="s">
        <v>308</v>
      </c>
      <c r="C68" s="52" t="s">
        <v>260</v>
      </c>
      <c r="D68" s="53">
        <v>-1568734</v>
      </c>
      <c r="E68" s="53">
        <v>0</v>
      </c>
      <c r="F68" s="53">
        <v>0</v>
      </c>
      <c r="G68" s="53">
        <v>-1568734</v>
      </c>
    </row>
    <row r="69" spans="1:7">
      <c r="A69">
        <f>IFERROR(IF(B69="",0,IF(VALUE(LEFT(B69,1))&gt;3,VLOOKUP(VALUE(B69),PROYECCIONES!B:D,3,FALSE),0)),1 + COUNTIF($A$2:A68,"&gt;0"))</f>
        <v>0</v>
      </c>
      <c r="B69" s="52" t="s">
        <v>446</v>
      </c>
      <c r="C69" s="52" t="s">
        <v>447</v>
      </c>
      <c r="D69" s="53">
        <v>0</v>
      </c>
      <c r="E69" s="53">
        <v>0</v>
      </c>
      <c r="F69" s="53">
        <v>1154293</v>
      </c>
      <c r="G69" s="53">
        <v>-1154293</v>
      </c>
    </row>
    <row r="70" spans="1:7">
      <c r="A70">
        <f>IFERROR(IF(B70="",0,IF(VALUE(LEFT(B70,1))&gt;3,VLOOKUP(VALUE(B70),PROYECCIONES!B:D,3,FALSE),0)),1 + COUNTIF($A$2:A69,"&gt;0"))</f>
        <v>0</v>
      </c>
      <c r="B70" s="52" t="s">
        <v>448</v>
      </c>
      <c r="C70" s="52" t="s">
        <v>449</v>
      </c>
      <c r="D70" s="53">
        <v>0</v>
      </c>
      <c r="E70" s="53">
        <v>0</v>
      </c>
      <c r="F70" s="53">
        <v>138516</v>
      </c>
      <c r="G70" s="53">
        <v>-138516</v>
      </c>
    </row>
    <row r="71" spans="1:7">
      <c r="A71">
        <f>IFERROR(IF(B71="",0,IF(VALUE(LEFT(B71,1))&gt;3,VLOOKUP(VALUE(B71),PROYECCIONES!B:D,3,FALSE),0)),1 + COUNTIF($A$2:A70,"&gt;0"))</f>
        <v>0</v>
      </c>
      <c r="B71" s="52" t="s">
        <v>450</v>
      </c>
      <c r="C71" s="52" t="s">
        <v>451</v>
      </c>
      <c r="D71" s="53">
        <v>0</v>
      </c>
      <c r="E71" s="53">
        <v>0</v>
      </c>
      <c r="F71" s="53">
        <v>562501</v>
      </c>
      <c r="G71" s="53">
        <v>-562501</v>
      </c>
    </row>
    <row r="72" spans="1:7">
      <c r="A72">
        <f>IFERROR(IF(B72="",0,IF(VALUE(LEFT(B72,1))&gt;3,VLOOKUP(VALUE(B72),PROYECCIONES!B:D,3,FALSE),0)),1 + COUNTIF($A$2:A71,"&gt;0"))</f>
        <v>0</v>
      </c>
      <c r="B72" s="52" t="s">
        <v>452</v>
      </c>
      <c r="C72" s="52" t="s">
        <v>453</v>
      </c>
      <c r="D72" s="53">
        <v>0</v>
      </c>
      <c r="E72" s="53">
        <v>0</v>
      </c>
      <c r="F72" s="53">
        <v>1154293</v>
      </c>
      <c r="G72" s="53">
        <v>-1154293</v>
      </c>
    </row>
    <row r="73" spans="1:7">
      <c r="A73">
        <f>IFERROR(IF(B73="",0,IF(VALUE(LEFT(B73,1))&gt;3,VLOOKUP(VALUE(B73),PROYECCIONES!B:D,3,FALSE),0)),1 + COUNTIF($A$2:A72,"&gt;0"))</f>
        <v>0</v>
      </c>
      <c r="B73" s="52" t="s">
        <v>593</v>
      </c>
      <c r="C73" s="52" t="s">
        <v>594</v>
      </c>
      <c r="D73" s="53">
        <v>0</v>
      </c>
      <c r="E73" s="53">
        <v>0</v>
      </c>
      <c r="F73" s="53">
        <v>26977138</v>
      </c>
      <c r="G73" s="53">
        <v>-26977138</v>
      </c>
    </row>
    <row r="74" spans="1:7">
      <c r="A74">
        <f>IFERROR(IF(B74="",0,IF(VALUE(LEFT(B74,1))&gt;3,VLOOKUP(VALUE(B74),PROYECCIONES!B:D,3,FALSE),0)),1 + COUNTIF($A$2:A73,"&gt;0"))</f>
        <v>0</v>
      </c>
      <c r="B74" s="52" t="s">
        <v>477</v>
      </c>
      <c r="C74" s="52" t="s">
        <v>478</v>
      </c>
      <c r="D74" s="53">
        <v>-3778917.1</v>
      </c>
      <c r="E74" s="53">
        <v>0</v>
      </c>
      <c r="F74" s="53">
        <v>0</v>
      </c>
      <c r="G74" s="53">
        <v>-3778917.1</v>
      </c>
    </row>
    <row r="75" spans="1:7">
      <c r="A75">
        <f>IFERROR(IF(B75="",0,IF(VALUE(LEFT(B75,1))&gt;3,VLOOKUP(VALUE(B75),PROYECCIONES!B:D,3,FALSE),0)),1 + COUNTIF($A$2:A74,"&gt;0"))</f>
        <v>0</v>
      </c>
      <c r="B75" s="52" t="s">
        <v>479</v>
      </c>
      <c r="C75" s="52" t="s">
        <v>480</v>
      </c>
      <c r="D75" s="53">
        <v>-180390</v>
      </c>
      <c r="E75" s="53">
        <v>0</v>
      </c>
      <c r="F75" s="53">
        <v>0</v>
      </c>
      <c r="G75" s="53">
        <v>-180390</v>
      </c>
    </row>
    <row r="76" spans="1:7">
      <c r="A76">
        <f>IFERROR(IF(B76="",0,IF(VALUE(LEFT(B76,1))&gt;3,VLOOKUP(VALUE(B76),PROYECCIONES!B:D,3,FALSE),0)),1 + COUNTIF($A$2:A75,"&gt;0"))</f>
        <v>0</v>
      </c>
      <c r="B76" s="52" t="s">
        <v>309</v>
      </c>
      <c r="C76" s="52" t="s">
        <v>261</v>
      </c>
      <c r="D76" s="53">
        <v>-100000000</v>
      </c>
      <c r="E76" s="53">
        <v>0</v>
      </c>
      <c r="F76" s="53">
        <v>0</v>
      </c>
      <c r="G76" s="53">
        <v>-100000000</v>
      </c>
    </row>
    <row r="77" spans="1:7">
      <c r="A77">
        <f>IFERROR(IF(B77="",0,IF(VALUE(LEFT(B77,1))&gt;3,VLOOKUP(VALUE(B77),PROYECCIONES!B:D,3,FALSE),0)),1 + COUNTIF($A$2:A76,"&gt;0"))</f>
        <v>0</v>
      </c>
      <c r="B77" s="52" t="s">
        <v>310</v>
      </c>
      <c r="C77" s="52" t="s">
        <v>262</v>
      </c>
      <c r="D77" s="53">
        <v>69000000</v>
      </c>
      <c r="E77" s="53">
        <v>0</v>
      </c>
      <c r="F77" s="53">
        <v>0</v>
      </c>
      <c r="G77" s="53">
        <v>69000000</v>
      </c>
    </row>
    <row r="78" spans="1:7">
      <c r="A78">
        <f>IFERROR(IF(B78="",0,IF(VALUE(LEFT(B78,1))&gt;3,VLOOKUP(VALUE(B78),PROYECCIONES!B:D,3,FALSE),0)),1 + COUNTIF($A$2:A77,"&gt;0"))</f>
        <v>0</v>
      </c>
      <c r="B78" s="52" t="s">
        <v>481</v>
      </c>
      <c r="C78" s="52" t="s">
        <v>482</v>
      </c>
      <c r="D78" s="53">
        <v>-41626840.030000001</v>
      </c>
      <c r="E78" s="53">
        <v>41626840.030000001</v>
      </c>
      <c r="F78" s="53">
        <v>0</v>
      </c>
      <c r="G78" s="53">
        <v>0</v>
      </c>
    </row>
    <row r="79" spans="1:7">
      <c r="A79">
        <f>IFERROR(IF(B79="",0,IF(VALUE(LEFT(B79,1))&gt;3,VLOOKUP(VALUE(B79),PROYECCIONES!B:D,3,FALSE),0)),1 + COUNTIF($A$2:A78,"&gt;0"))</f>
        <v>0</v>
      </c>
      <c r="B79" s="52" t="s">
        <v>521</v>
      </c>
      <c r="C79" s="52" t="s">
        <v>522</v>
      </c>
      <c r="D79" s="53">
        <v>0</v>
      </c>
      <c r="E79" s="53">
        <v>0</v>
      </c>
      <c r="F79" s="53">
        <v>121913000</v>
      </c>
      <c r="G79" s="53">
        <v>-121913000</v>
      </c>
    </row>
    <row r="80" spans="1:7">
      <c r="A80">
        <f>IFERROR(IF(B80="",0,IF(VALUE(LEFT(B80,1))&gt;3,VLOOKUP(VALUE(B80),PROYECCIONES!B:D,3,FALSE),0)),1 + COUNTIF($A$2:A79,"&gt;0"))</f>
        <v>0</v>
      </c>
      <c r="B80" s="52" t="s">
        <v>523</v>
      </c>
      <c r="C80" s="52" t="s">
        <v>524</v>
      </c>
      <c r="D80" s="53">
        <v>0</v>
      </c>
      <c r="E80" s="53">
        <v>0</v>
      </c>
      <c r="F80" s="53">
        <v>9320635</v>
      </c>
      <c r="G80" s="53">
        <v>-9320635</v>
      </c>
    </row>
    <row r="81" spans="1:7">
      <c r="A81">
        <f>IFERROR(IF(B81="",0,IF(VALUE(LEFT(B81,1))&gt;3,VLOOKUP(VALUE(B81),PROYECCIONES!B:D,3,FALSE),0)),1 + COUNTIF($A$2:A80,"&gt;0"))</f>
        <v>0</v>
      </c>
      <c r="B81" s="52" t="s">
        <v>525</v>
      </c>
      <c r="C81" s="52" t="s">
        <v>526</v>
      </c>
      <c r="D81" s="53">
        <v>0</v>
      </c>
      <c r="E81" s="53">
        <v>0</v>
      </c>
      <c r="F81" s="53">
        <v>106347119</v>
      </c>
      <c r="G81" s="53">
        <v>-106347119</v>
      </c>
    </row>
    <row r="82" spans="1:7">
      <c r="A82">
        <f>IFERROR(IF(B82="",0,IF(VALUE(LEFT(B82,1))&gt;3,VLOOKUP(VALUE(B82),PROYECCIONES!B:D,3,FALSE),0)),1 + COUNTIF($A$2:A81,"&gt;0"))</f>
        <v>0</v>
      </c>
      <c r="B82" s="52" t="s">
        <v>527</v>
      </c>
      <c r="C82" s="52" t="s">
        <v>528</v>
      </c>
      <c r="D82" s="53">
        <v>0</v>
      </c>
      <c r="E82" s="53">
        <v>0</v>
      </c>
      <c r="F82" s="53">
        <v>41185457</v>
      </c>
      <c r="G82" s="53">
        <v>-41185457</v>
      </c>
    </row>
    <row r="83" spans="1:7">
      <c r="A83">
        <f>IFERROR(IF(B83="",0,IF(VALUE(LEFT(B83,1))&gt;3,VLOOKUP(VALUE(B83),PROYECCIONES!B:D,3,FALSE),0)),1 + COUNTIF($A$2:A82,"&gt;0"))</f>
        <v>0</v>
      </c>
      <c r="B83" s="52" t="s">
        <v>529</v>
      </c>
      <c r="C83" s="52" t="s">
        <v>530</v>
      </c>
      <c r="D83" s="53">
        <v>0</v>
      </c>
      <c r="E83" s="53">
        <v>0</v>
      </c>
      <c r="F83" s="53">
        <v>46049185</v>
      </c>
      <c r="G83" s="53">
        <v>-46049185</v>
      </c>
    </row>
    <row r="84" spans="1:7">
      <c r="A84">
        <f>IFERROR(IF(B84="",0,IF(VALUE(LEFT(B84,1))&gt;3,VLOOKUP(VALUE(B84),PROYECCIONES!B:D,3,FALSE),0)),1 + COUNTIF($A$2:A83,"&gt;0"))</f>
        <v>0</v>
      </c>
      <c r="B84" s="52" t="s">
        <v>531</v>
      </c>
      <c r="C84" s="52" t="s">
        <v>532</v>
      </c>
      <c r="D84" s="53">
        <v>0</v>
      </c>
      <c r="E84" s="53">
        <v>0</v>
      </c>
      <c r="F84" s="53">
        <v>41626840.030000001</v>
      </c>
      <c r="G84" s="53">
        <v>-41626840.030000001</v>
      </c>
    </row>
    <row r="85" spans="1:7">
      <c r="A85">
        <f>IFERROR(IF(B85="",0,IF(VALUE(LEFT(B85,1))&gt;3,VLOOKUP(VALUE(B85),PROYECCIONES!B:D,3,FALSE),0)),1 + COUNTIF($A$2:A84,"&gt;0"))</f>
        <v>0</v>
      </c>
      <c r="B85" s="52" t="s">
        <v>311</v>
      </c>
      <c r="C85" s="52" t="s">
        <v>263</v>
      </c>
      <c r="D85" s="53">
        <v>-324855397.33999997</v>
      </c>
      <c r="E85" s="53">
        <v>324855397.33999997</v>
      </c>
      <c r="F85" s="53">
        <v>0</v>
      </c>
      <c r="G85" s="53">
        <v>-5.9604644775390599E-8</v>
      </c>
    </row>
    <row r="86" spans="1:7">
      <c r="A86">
        <f>IFERROR(IF(B86="",0,IF(VALUE(LEFT(B86,1))&gt;3,VLOOKUP(VALUE(B86),PROYECCIONES!B:D,3,FALSE),0)),1 + COUNTIF($A$2:A85,"&gt;0"))</f>
        <v>0</v>
      </c>
      <c r="B86" s="52" t="s">
        <v>312</v>
      </c>
      <c r="C86" s="52" t="s">
        <v>119</v>
      </c>
      <c r="D86" s="53">
        <v>0</v>
      </c>
      <c r="E86" s="53">
        <v>0</v>
      </c>
      <c r="F86" s="53">
        <v>38796294</v>
      </c>
      <c r="G86" s="53">
        <v>-38796294</v>
      </c>
    </row>
    <row r="87" spans="1:7">
      <c r="A87">
        <f>IFERROR(IF(B87="",0,IF(VALUE(LEFT(B87,1))&gt;3,VLOOKUP(VALUE(B87),PROYECCIONES!B:D,3,FALSE),0)),1 + COUNTIF($A$2:A86,"&gt;0"))</f>
        <v>0</v>
      </c>
      <c r="B87" s="52" t="s">
        <v>386</v>
      </c>
      <c r="C87" s="52" t="s">
        <v>120</v>
      </c>
      <c r="D87" s="53">
        <v>0</v>
      </c>
      <c r="E87" s="53">
        <v>0</v>
      </c>
      <c r="F87" s="53">
        <v>13920594</v>
      </c>
      <c r="G87" s="53">
        <v>-13920594</v>
      </c>
    </row>
    <row r="88" spans="1:7">
      <c r="A88">
        <f>IFERROR(IF(B88="",0,IF(VALUE(LEFT(B88,1))&gt;3,VLOOKUP(VALUE(B88),PROYECCIONES!B:D,3,FALSE),0)),1 + COUNTIF($A$2:A87,"&gt;0"))</f>
        <v>0</v>
      </c>
      <c r="B88" s="52" t="s">
        <v>313</v>
      </c>
      <c r="C88" s="52" t="s">
        <v>122</v>
      </c>
      <c r="D88" s="53">
        <v>2.91038304567337E-11</v>
      </c>
      <c r="E88" s="53">
        <v>0</v>
      </c>
      <c r="F88" s="53">
        <v>1285.3900000000001</v>
      </c>
      <c r="G88" s="53">
        <v>-1285.3899999999701</v>
      </c>
    </row>
    <row r="89" spans="1:7">
      <c r="A89">
        <f>IFERROR(IF(B89="",0,IF(VALUE(LEFT(B89,1))&gt;3,VLOOKUP(VALUE(B89),PROYECCIONES!B:D,3,FALSE),0)),1 + COUNTIF($A$2:A88,"&gt;0"))</f>
        <v>0</v>
      </c>
      <c r="B89" s="52" t="s">
        <v>314</v>
      </c>
      <c r="C89" s="52" t="s">
        <v>99</v>
      </c>
      <c r="D89" s="53">
        <v>0</v>
      </c>
      <c r="E89" s="53">
        <v>0</v>
      </c>
      <c r="F89" s="53">
        <v>2.9100000000002</v>
      </c>
      <c r="G89" s="53">
        <v>-2.9100000000034898</v>
      </c>
    </row>
    <row r="90" spans="1:7">
      <c r="A90">
        <f>IFERROR(IF(B90="",0,IF(VALUE(LEFT(B90,1))&gt;3,VLOOKUP(VALUE(B90),PROYECCIONES!B:D,3,FALSE),0)),1 + COUNTIF($A$2:A89,"&gt;0"))</f>
        <v>0</v>
      </c>
      <c r="B90" s="52" t="s">
        <v>315</v>
      </c>
      <c r="C90" s="52" t="s">
        <v>100</v>
      </c>
      <c r="D90" s="53">
        <v>0</v>
      </c>
      <c r="E90" s="53">
        <v>3526667</v>
      </c>
      <c r="F90" s="53">
        <v>0</v>
      </c>
      <c r="G90" s="53">
        <v>3526667</v>
      </c>
    </row>
    <row r="91" spans="1:7">
      <c r="A91">
        <f>IFERROR(IF(B91="",0,IF(VALUE(LEFT(B91,1))&gt;3,VLOOKUP(VALUE(B91),PROYECCIONES!B:D,3,FALSE),0)),1 + COUNTIF($A$2:A90,"&gt;0"))</f>
        <v>0</v>
      </c>
      <c r="B91" s="52" t="s">
        <v>317</v>
      </c>
      <c r="C91" s="52" t="s">
        <v>96</v>
      </c>
      <c r="D91" s="53">
        <v>0</v>
      </c>
      <c r="E91" s="53">
        <v>383333</v>
      </c>
      <c r="F91" s="53">
        <v>0</v>
      </c>
      <c r="G91" s="53">
        <v>383333</v>
      </c>
    </row>
    <row r="92" spans="1:7">
      <c r="A92">
        <f>IFERROR(IF(B92="",0,IF(VALUE(LEFT(B92,1))&gt;3,VLOOKUP(VALUE(B92),PROYECCIONES!B:D,3,FALSE),0)),1 + COUNTIF($A$2:A91,"&gt;0"))</f>
        <v>0</v>
      </c>
      <c r="B92" s="52" t="s">
        <v>318</v>
      </c>
      <c r="C92" s="52" t="s">
        <v>102</v>
      </c>
      <c r="D92" s="53">
        <v>0</v>
      </c>
      <c r="E92" s="53">
        <v>46000</v>
      </c>
      <c r="F92" s="53">
        <v>0</v>
      </c>
      <c r="G92" s="53">
        <v>46000</v>
      </c>
    </row>
    <row r="93" spans="1:7">
      <c r="A93">
        <f>IFERROR(IF(B93="",0,IF(VALUE(LEFT(B93,1))&gt;3,VLOOKUP(VALUE(B93),PROYECCIONES!B:D,3,FALSE),0)),1 + COUNTIF($A$2:A92,"&gt;0"))</f>
        <v>0</v>
      </c>
      <c r="B93" s="52" t="s">
        <v>319</v>
      </c>
      <c r="C93" s="52" t="s">
        <v>97</v>
      </c>
      <c r="D93" s="53">
        <v>0</v>
      </c>
      <c r="E93" s="53">
        <v>383333</v>
      </c>
      <c r="F93" s="53">
        <v>0</v>
      </c>
      <c r="G93" s="53">
        <v>383333</v>
      </c>
    </row>
    <row r="94" spans="1:7">
      <c r="A94">
        <f>IFERROR(IF(B94="",0,IF(VALUE(LEFT(B94,1))&gt;3,VLOOKUP(VALUE(B94),PROYECCIONES!B:D,3,FALSE),0)),1 + COUNTIF($A$2:A93,"&gt;0"))</f>
        <v>0</v>
      </c>
      <c r="B94" s="52" t="s">
        <v>320</v>
      </c>
      <c r="C94" s="52" t="s">
        <v>98</v>
      </c>
      <c r="D94" s="53">
        <v>0</v>
      </c>
      <c r="E94" s="53">
        <v>191667</v>
      </c>
      <c r="F94" s="53">
        <v>0</v>
      </c>
      <c r="G94" s="53">
        <v>191667</v>
      </c>
    </row>
    <row r="95" spans="1:7">
      <c r="A95">
        <f>IFERROR(IF(B95="",0,IF(VALUE(LEFT(B95,1))&gt;3,VLOOKUP(VALUE(B95),PROYECCIONES!B:D,3,FALSE),0)),1 + COUNTIF($A$2:A94,"&gt;0"))</f>
        <v>0</v>
      </c>
      <c r="B95" s="52" t="s">
        <v>387</v>
      </c>
      <c r="C95" s="52" t="s">
        <v>90</v>
      </c>
      <c r="D95" s="53">
        <v>0</v>
      </c>
      <c r="E95" s="53">
        <v>51740</v>
      </c>
      <c r="F95" s="53">
        <v>0</v>
      </c>
      <c r="G95" s="53">
        <v>51740</v>
      </c>
    </row>
    <row r="96" spans="1:7">
      <c r="A96">
        <f>IFERROR(IF(B96="",0,IF(VALUE(LEFT(B96,1))&gt;3,VLOOKUP(VALUE(B96),PROYECCIONES!B:D,3,FALSE),0)),1 + COUNTIF($A$2:A95,"&gt;0"))</f>
        <v>0</v>
      </c>
      <c r="B96" s="52" t="s">
        <v>321</v>
      </c>
      <c r="C96" s="52" t="s">
        <v>103</v>
      </c>
      <c r="D96" s="53">
        <v>0</v>
      </c>
      <c r="E96" s="53">
        <v>2949700</v>
      </c>
      <c r="F96" s="53">
        <v>0</v>
      </c>
      <c r="G96" s="53">
        <v>2949700</v>
      </c>
    </row>
    <row r="97" spans="1:7">
      <c r="A97">
        <f>IFERROR(IF(B97="",0,IF(VALUE(LEFT(B97,1))&gt;3,VLOOKUP(VALUE(B97),PROYECCIONES!B:D,3,FALSE),0)),1 + COUNTIF($A$2:A96,"&gt;0"))</f>
        <v>0</v>
      </c>
      <c r="B97" s="52" t="s">
        <v>323</v>
      </c>
      <c r="C97" s="52" t="s">
        <v>126</v>
      </c>
      <c r="D97" s="53">
        <v>0</v>
      </c>
      <c r="E97" s="53">
        <v>500000</v>
      </c>
      <c r="F97" s="53">
        <v>0</v>
      </c>
      <c r="G97" s="53">
        <v>500000</v>
      </c>
    </row>
    <row r="98" spans="1:7">
      <c r="A98">
        <f>IFERROR(IF(B98="",0,IF(VALUE(LEFT(B98,1))&gt;3,VLOOKUP(VALUE(B98),PROYECCIONES!B:D,3,FALSE),0)),1 + COUNTIF($A$2:A97,"&gt;0"))</f>
        <v>0</v>
      </c>
      <c r="B98" s="52" t="s">
        <v>324</v>
      </c>
      <c r="C98" s="52" t="s">
        <v>127</v>
      </c>
      <c r="D98" s="53">
        <v>0</v>
      </c>
      <c r="E98" s="53">
        <v>24012</v>
      </c>
      <c r="F98" s="53">
        <v>0</v>
      </c>
      <c r="G98" s="53">
        <v>24012</v>
      </c>
    </row>
    <row r="99" spans="1:7">
      <c r="A99">
        <f>IFERROR(IF(B99="",0,IF(VALUE(LEFT(B99,1))&gt;3,VLOOKUP(VALUE(B99),PROYECCIONES!B:D,3,FALSE),0)),1 + COUNTIF($A$2:A98,"&gt;0"))</f>
        <v>0</v>
      </c>
      <c r="B99" s="52" t="s">
        <v>325</v>
      </c>
      <c r="C99" s="52" t="s">
        <v>128</v>
      </c>
      <c r="D99" s="53">
        <v>0</v>
      </c>
      <c r="E99" s="53">
        <v>552000</v>
      </c>
      <c r="F99" s="53">
        <v>0</v>
      </c>
      <c r="G99" s="53">
        <v>552000</v>
      </c>
    </row>
    <row r="100" spans="1:7">
      <c r="A100">
        <f>IFERROR(IF(B100="",0,IF(VALUE(LEFT(B100,1))&gt;3,VLOOKUP(VALUE(B100),PROYECCIONES!B:D,3,FALSE),0)),1 + COUNTIF($A$2:A99,"&gt;0"))</f>
        <v>0</v>
      </c>
      <c r="B100" s="52" t="s">
        <v>326</v>
      </c>
      <c r="C100" s="52" t="s">
        <v>129</v>
      </c>
      <c r="D100" s="53">
        <v>0</v>
      </c>
      <c r="E100" s="53">
        <v>184000</v>
      </c>
      <c r="F100" s="53">
        <v>0</v>
      </c>
      <c r="G100" s="53">
        <v>184000</v>
      </c>
    </row>
    <row r="101" spans="1:7">
      <c r="A101">
        <f>IFERROR(IF(B101="",0,IF(VALUE(LEFT(B101,1))&gt;3,VLOOKUP(VALUE(B101),PROYECCIONES!B:D,3,FALSE),0)),1 + COUNTIF($A$2:A100,"&gt;0"))</f>
        <v>0</v>
      </c>
      <c r="B101" s="52" t="s">
        <v>388</v>
      </c>
      <c r="C101" s="52" t="s">
        <v>130</v>
      </c>
      <c r="D101" s="53">
        <v>0</v>
      </c>
      <c r="E101" s="53">
        <v>424000</v>
      </c>
      <c r="F101" s="53">
        <v>0</v>
      </c>
      <c r="G101" s="53">
        <v>424000</v>
      </c>
    </row>
    <row r="102" spans="1:7">
      <c r="A102">
        <f>IFERROR(IF(B102="",0,IF(VALUE(LEFT(B102,1))&gt;3,VLOOKUP(VALUE(B102),PROYECCIONES!B:D,3,FALSE),0)),1 + COUNTIF($A$2:A101,"&gt;0"))</f>
        <v>0</v>
      </c>
      <c r="B102" s="52" t="s">
        <v>389</v>
      </c>
      <c r="C102" s="52" t="s">
        <v>131</v>
      </c>
      <c r="D102" s="53">
        <v>0</v>
      </c>
      <c r="E102" s="53">
        <v>4580000</v>
      </c>
      <c r="F102" s="53">
        <v>0</v>
      </c>
      <c r="G102" s="53">
        <v>4580000</v>
      </c>
    </row>
    <row r="103" spans="1:7">
      <c r="A103">
        <f>IFERROR(IF(B103="",0,IF(VALUE(LEFT(B103,1))&gt;3,VLOOKUP(VALUE(B103),PROYECCIONES!B:D,3,FALSE),0)),1 + COUNTIF($A$2:A102,"&gt;0"))</f>
        <v>0</v>
      </c>
      <c r="B103" s="52" t="s">
        <v>328</v>
      </c>
      <c r="C103" s="52" t="s">
        <v>110</v>
      </c>
      <c r="D103" s="53">
        <v>0</v>
      </c>
      <c r="E103" s="53">
        <v>389976.13</v>
      </c>
      <c r="F103" s="53">
        <v>0</v>
      </c>
      <c r="G103" s="53">
        <v>389976.13000000099</v>
      </c>
    </row>
    <row r="104" spans="1:7">
      <c r="A104">
        <f>IFERROR(IF(B104="",0,IF(VALUE(LEFT(B104,1))&gt;3,VLOOKUP(VALUE(B104),PROYECCIONES!B:D,3,FALSE),0)),1 + COUNTIF($A$2:A103,"&gt;0"))</f>
        <v>0</v>
      </c>
      <c r="B104" s="52" t="s">
        <v>412</v>
      </c>
      <c r="C104" s="52" t="s">
        <v>198</v>
      </c>
      <c r="D104" s="53">
        <v>0</v>
      </c>
      <c r="E104" s="53">
        <v>349.54</v>
      </c>
      <c r="F104" s="53">
        <v>0</v>
      </c>
      <c r="G104" s="53">
        <v>349.54000000000099</v>
      </c>
    </row>
    <row r="105" spans="1:7">
      <c r="A105">
        <f>IFERROR(IF(B105="",0,IF(VALUE(LEFT(B105,1))&gt;3,VLOOKUP(VALUE(B105),PROYECCIONES!B:D,3,FALSE),0)),1 + COUNTIF($A$2:A104,"&gt;0"))</f>
        <v>0</v>
      </c>
      <c r="B105" s="52" t="s">
        <v>329</v>
      </c>
      <c r="C105" s="52" t="s">
        <v>135</v>
      </c>
      <c r="D105" s="53">
        <v>-4.65661287307739E-10</v>
      </c>
      <c r="E105" s="53">
        <v>1120</v>
      </c>
      <c r="F105" s="53">
        <v>0</v>
      </c>
      <c r="G105" s="53">
        <v>1119.99999999953</v>
      </c>
    </row>
    <row r="106" spans="1:7">
      <c r="A106">
        <f>IFERROR(IF(B106="",0,IF(VALUE(LEFT(B106,1))&gt;3,VLOOKUP(VALUE(B106),PROYECCIONES!B:D,3,FALSE),0)),1 + COUNTIF($A$2:A105,"&gt;0"))</f>
        <v>0</v>
      </c>
      <c r="B106" s="52" t="s">
        <v>330</v>
      </c>
      <c r="C106" s="52" t="s">
        <v>136</v>
      </c>
      <c r="D106" s="53">
        <v>0</v>
      </c>
      <c r="E106" s="53">
        <v>1263500</v>
      </c>
      <c r="F106" s="53">
        <v>0</v>
      </c>
      <c r="G106" s="53">
        <v>1263500</v>
      </c>
    </row>
    <row r="107" spans="1:7">
      <c r="A107">
        <f>IFERROR(IF(B107="",0,IF(VALUE(LEFT(B107,1))&gt;3,VLOOKUP(VALUE(B107),PROYECCIONES!B:D,3,FALSE),0)),1 + COUNTIF($A$2:A106,"&gt;0"))</f>
        <v>0</v>
      </c>
      <c r="B107" s="52" t="s">
        <v>332</v>
      </c>
      <c r="C107" s="52" t="s">
        <v>139</v>
      </c>
      <c r="D107" s="53">
        <v>0</v>
      </c>
      <c r="E107" s="53">
        <v>142624.29</v>
      </c>
      <c r="F107" s="53">
        <v>0</v>
      </c>
      <c r="G107" s="53">
        <v>142624.29</v>
      </c>
    </row>
    <row r="108" spans="1:7">
      <c r="A108">
        <f>IFERROR(IF(B108="",0,IF(VALUE(LEFT(B108,1))&gt;3,VLOOKUP(VALUE(B108),PROYECCIONES!B:D,3,FALSE),0)),1 + COUNTIF($A$2:A107,"&gt;0"))</f>
        <v>0</v>
      </c>
      <c r="B108" s="52" t="s">
        <v>333</v>
      </c>
      <c r="C108" s="52" t="s">
        <v>140</v>
      </c>
      <c r="D108" s="53">
        <v>-2.3283064365386999E-10</v>
      </c>
      <c r="E108" s="53">
        <v>2341.0300000000002</v>
      </c>
      <c r="F108" s="53">
        <v>0</v>
      </c>
      <c r="G108" s="53">
        <v>2341.0299999998001</v>
      </c>
    </row>
    <row r="109" spans="1:7">
      <c r="A109">
        <f>IFERROR(IF(B109="",0,IF(VALUE(LEFT(B109,1))&gt;3,VLOOKUP(VALUE(B109),PROYECCIONES!B:D,3,FALSE),0)),1 + COUNTIF($A$2:A108,"&gt;0"))</f>
        <v>0</v>
      </c>
      <c r="B109" s="52" t="s">
        <v>334</v>
      </c>
      <c r="C109" s="52" t="s">
        <v>141</v>
      </c>
      <c r="D109" s="53">
        <v>0</v>
      </c>
      <c r="E109" s="53">
        <v>1750000</v>
      </c>
      <c r="F109" s="53">
        <v>0</v>
      </c>
      <c r="G109" s="53">
        <v>1750000</v>
      </c>
    </row>
    <row r="110" spans="1:7">
      <c r="A110">
        <f>IFERROR(IF(B110="",0,IF(VALUE(LEFT(B110,1))&gt;3,VLOOKUP(VALUE(B110),PROYECCIONES!B:D,3,FALSE),0)),1 + COUNTIF($A$2:A109,"&gt;0"))</f>
        <v>0</v>
      </c>
      <c r="B110" s="52" t="s">
        <v>335</v>
      </c>
      <c r="C110" s="52" t="s">
        <v>143</v>
      </c>
      <c r="D110" s="53">
        <v>0</v>
      </c>
      <c r="E110" s="53">
        <v>34527.910000000003</v>
      </c>
      <c r="F110" s="53">
        <v>0</v>
      </c>
      <c r="G110" s="53">
        <v>34527.910000000098</v>
      </c>
    </row>
    <row r="111" spans="1:7">
      <c r="A111">
        <f>IFERROR(IF(B111="",0,IF(VALUE(LEFT(B111,1))&gt;3,VLOOKUP(VALUE(B111),PROYECCIONES!B:D,3,FALSE),0)),1 + COUNTIF($A$2:A110,"&gt;0"))</f>
        <v>0</v>
      </c>
      <c r="B111" s="52" t="s">
        <v>336</v>
      </c>
      <c r="C111" s="52" t="s">
        <v>144</v>
      </c>
      <c r="D111" s="53">
        <v>0</v>
      </c>
      <c r="E111" s="53">
        <v>169679.13</v>
      </c>
      <c r="F111" s="53">
        <v>0</v>
      </c>
      <c r="G111" s="53">
        <v>169679.13</v>
      </c>
    </row>
    <row r="112" spans="1:7">
      <c r="A112">
        <f>IFERROR(IF(B112="",0,IF(VALUE(LEFT(B112,1))&gt;3,VLOOKUP(VALUE(B112),PROYECCIONES!B:D,3,FALSE),0)),1 + COUNTIF($A$2:A111,"&gt;0"))</f>
        <v>0</v>
      </c>
      <c r="B112" s="52" t="s">
        <v>367</v>
      </c>
      <c r="C112" s="52" t="s">
        <v>145</v>
      </c>
      <c r="D112" s="53">
        <v>0</v>
      </c>
      <c r="E112" s="53">
        <v>44117</v>
      </c>
      <c r="F112" s="53">
        <v>0</v>
      </c>
      <c r="G112" s="53">
        <v>44117</v>
      </c>
    </row>
    <row r="113" spans="1:7">
      <c r="A113">
        <f>IFERROR(IF(B113="",0,IF(VALUE(LEFT(B113,1))&gt;3,VLOOKUP(VALUE(B113),PROYECCIONES!B:D,3,FALSE),0)),1 + COUNTIF($A$2:A112,"&gt;0"))</f>
        <v>0</v>
      </c>
      <c r="B113" s="52" t="s">
        <v>337</v>
      </c>
      <c r="C113" s="52" t="s">
        <v>146</v>
      </c>
      <c r="D113" s="53">
        <v>0</v>
      </c>
      <c r="E113" s="53">
        <v>296957.03999999998</v>
      </c>
      <c r="F113" s="53">
        <v>0</v>
      </c>
      <c r="G113" s="53">
        <v>296957.03999999998</v>
      </c>
    </row>
    <row r="114" spans="1:7">
      <c r="A114">
        <f>IFERROR(IF(B114="",0,IF(VALUE(LEFT(B114,1))&gt;3,VLOOKUP(VALUE(B114),PROYECCIONES!B:D,3,FALSE),0)),1 + COUNTIF($A$2:A113,"&gt;0"))</f>
        <v>0</v>
      </c>
      <c r="B114" s="52" t="s">
        <v>339</v>
      </c>
      <c r="C114" s="52" t="s">
        <v>148</v>
      </c>
      <c r="D114" s="53">
        <v>0</v>
      </c>
      <c r="E114" s="53">
        <v>96879</v>
      </c>
      <c r="F114" s="53">
        <v>0</v>
      </c>
      <c r="G114" s="53">
        <v>96879</v>
      </c>
    </row>
    <row r="115" spans="1:7">
      <c r="A115">
        <f>IFERROR(IF(B115="",0,IF(VALUE(LEFT(B115,1))&gt;3,VLOOKUP(VALUE(B115),PROYECCIONES!B:D,3,FALSE),0)),1 + COUNTIF($A$2:A114,"&gt;0"))</f>
        <v>0</v>
      </c>
      <c r="B115" s="52" t="s">
        <v>340</v>
      </c>
      <c r="C115" s="52" t="s">
        <v>149</v>
      </c>
      <c r="D115" s="53">
        <v>0</v>
      </c>
      <c r="E115" s="53">
        <v>500000</v>
      </c>
      <c r="F115" s="53">
        <v>0</v>
      </c>
      <c r="G115" s="53">
        <v>500000</v>
      </c>
    </row>
    <row r="116" spans="1:7">
      <c r="A116">
        <f>IFERROR(IF(B116="",0,IF(VALUE(LEFT(B116,1))&gt;3,VLOOKUP(VALUE(B116),PROYECCIONES!B:D,3,FALSE),0)),1 + COUNTIF($A$2:A115,"&gt;0"))</f>
        <v>0</v>
      </c>
      <c r="B116" s="52" t="s">
        <v>390</v>
      </c>
      <c r="C116" s="52" t="s">
        <v>201</v>
      </c>
      <c r="D116" s="53">
        <v>0</v>
      </c>
      <c r="E116" s="53">
        <v>621371.53</v>
      </c>
      <c r="F116" s="53">
        <v>0</v>
      </c>
      <c r="G116" s="53">
        <v>621371.53</v>
      </c>
    </row>
    <row r="117" spans="1:7">
      <c r="A117">
        <f>IFERROR(IF(B117="",0,IF(VALUE(LEFT(B117,1))&gt;3,VLOOKUP(VALUE(B117),PROYECCIONES!B:D,3,FALSE),0)),1 + COUNTIF($A$2:A116,"&gt;0"))</f>
        <v>0</v>
      </c>
      <c r="B117" s="52" t="s">
        <v>341</v>
      </c>
      <c r="C117" s="52" t="s">
        <v>154</v>
      </c>
      <c r="D117" s="53">
        <v>0</v>
      </c>
      <c r="E117" s="53">
        <v>150000</v>
      </c>
      <c r="F117" s="53">
        <v>0</v>
      </c>
      <c r="G117" s="53">
        <v>150000</v>
      </c>
    </row>
    <row r="118" spans="1:7">
      <c r="A118">
        <f>IFERROR(IF(B118="",0,IF(VALUE(LEFT(B118,1))&gt;3,VLOOKUP(VALUE(B118),PROYECCIONES!B:D,3,FALSE),0)),1 + COUNTIF($A$2:A117,"&gt;0"))</f>
        <v>0</v>
      </c>
      <c r="B118" s="52" t="s">
        <v>392</v>
      </c>
      <c r="C118" s="52" t="s">
        <v>155</v>
      </c>
      <c r="D118" s="53">
        <v>0</v>
      </c>
      <c r="E118" s="53">
        <v>201681.31</v>
      </c>
      <c r="F118" s="53">
        <v>0</v>
      </c>
      <c r="G118" s="53">
        <v>201681.31</v>
      </c>
    </row>
    <row r="119" spans="1:7">
      <c r="A119">
        <f>IFERROR(IF(B119="",0,IF(VALUE(LEFT(B119,1))&gt;3,VLOOKUP(VALUE(B119),PROYECCIONES!B:D,3,FALSE),0)),1 + COUNTIF($A$2:A118,"&gt;0"))</f>
        <v>0</v>
      </c>
      <c r="B119" s="52" t="s">
        <v>342</v>
      </c>
      <c r="C119" s="52" t="s">
        <v>156</v>
      </c>
      <c r="D119" s="53">
        <v>0</v>
      </c>
      <c r="E119" s="53">
        <v>1631269</v>
      </c>
      <c r="F119" s="53">
        <v>0</v>
      </c>
      <c r="G119" s="53">
        <v>1631269</v>
      </c>
    </row>
    <row r="120" spans="1:7">
      <c r="A120">
        <f>IFERROR(IF(B120="",0,IF(VALUE(LEFT(B120,1))&gt;3,VLOOKUP(VALUE(B120),PROYECCIONES!B:D,3,FALSE),0)),1 + COUNTIF($A$2:A119,"&gt;0"))</f>
        <v>0</v>
      </c>
      <c r="B120" s="52" t="s">
        <v>343</v>
      </c>
      <c r="C120" s="52" t="s">
        <v>157</v>
      </c>
      <c r="D120" s="53">
        <v>0</v>
      </c>
      <c r="E120" s="53">
        <v>450000</v>
      </c>
      <c r="F120" s="53">
        <v>0</v>
      </c>
      <c r="G120" s="53">
        <v>450000</v>
      </c>
    </row>
    <row r="121" spans="1:7">
      <c r="A121">
        <f>IFERROR(IF(B121="",0,IF(VALUE(LEFT(B121,1))&gt;3,VLOOKUP(VALUE(B121),PROYECCIONES!B:D,3,FALSE),0)),1 + COUNTIF($A$2:A120,"&gt;0"))</f>
        <v>0</v>
      </c>
      <c r="B121" s="52" t="s">
        <v>344</v>
      </c>
      <c r="C121" s="52" t="s">
        <v>160</v>
      </c>
      <c r="D121" s="53">
        <v>-1.8626451492309599E-9</v>
      </c>
      <c r="E121" s="53">
        <v>211638.28</v>
      </c>
      <c r="F121" s="53">
        <v>0</v>
      </c>
      <c r="G121" s="53">
        <v>211638.27999999799</v>
      </c>
    </row>
    <row r="122" spans="1:7">
      <c r="A122">
        <f>IFERROR(IF(B122="",0,IF(VALUE(LEFT(B122,1))&gt;3,VLOOKUP(VALUE(B122),PROYECCIONES!B:D,3,FALSE),0)),1 + COUNTIF($A$2:A121,"&gt;0"))</f>
        <v>0</v>
      </c>
      <c r="B122" s="52" t="s">
        <v>345</v>
      </c>
      <c r="C122" s="52" t="s">
        <v>162</v>
      </c>
      <c r="D122" s="53">
        <v>1.8626451492309599E-9</v>
      </c>
      <c r="E122" s="53">
        <v>512416.67</v>
      </c>
      <c r="F122" s="53">
        <v>0</v>
      </c>
      <c r="G122" s="53">
        <v>512416.67000000202</v>
      </c>
    </row>
    <row r="123" spans="1:7">
      <c r="A123">
        <f>IFERROR(IF(B123="",0,IF(VALUE(LEFT(B123,1))&gt;3,VLOOKUP(VALUE(B123),PROYECCIONES!B:D,3,FALSE),0)),1 + COUNTIF($A$2:A122,"&gt;0"))</f>
        <v>0</v>
      </c>
      <c r="B123" s="52" t="s">
        <v>393</v>
      </c>
      <c r="C123" s="52" t="s">
        <v>164</v>
      </c>
      <c r="D123" s="53">
        <v>0</v>
      </c>
      <c r="E123" s="53">
        <v>1800000</v>
      </c>
      <c r="F123" s="53">
        <v>0</v>
      </c>
      <c r="G123" s="53">
        <v>1800000</v>
      </c>
    </row>
    <row r="124" spans="1:7">
      <c r="A124">
        <f>IFERROR(IF(B124="",0,IF(VALUE(LEFT(B124,1))&gt;3,VLOOKUP(VALUE(B124),PROYECCIONES!B:D,3,FALSE),0)),1 + COUNTIF($A$2:A123,"&gt;0"))</f>
        <v>0</v>
      </c>
      <c r="B124" s="52" t="s">
        <v>369</v>
      </c>
      <c r="C124" s="52" t="s">
        <v>165</v>
      </c>
      <c r="D124" s="53">
        <v>-2.3283064365386999E-10</v>
      </c>
      <c r="E124" s="53">
        <v>107267</v>
      </c>
      <c r="F124" s="53">
        <v>0</v>
      </c>
      <c r="G124" s="53">
        <v>107267</v>
      </c>
    </row>
    <row r="125" spans="1:7">
      <c r="A125">
        <f>IFERROR(IF(B125="",0,IF(VALUE(LEFT(B125,1))&gt;3,VLOOKUP(VALUE(B125),PROYECCIONES!B:D,3,FALSE),0)),1 + COUNTIF($A$2:A124,"&gt;0"))</f>
        <v>0</v>
      </c>
      <c r="B125" s="52" t="s">
        <v>346</v>
      </c>
      <c r="C125" s="52" t="s">
        <v>166</v>
      </c>
      <c r="D125" s="53">
        <v>2.3283064365386999E-10</v>
      </c>
      <c r="E125" s="53">
        <v>76810</v>
      </c>
      <c r="F125" s="53">
        <v>0</v>
      </c>
      <c r="G125" s="53">
        <v>76810.000000000204</v>
      </c>
    </row>
    <row r="126" spans="1:7">
      <c r="A126">
        <f>IFERROR(IF(B126="",0,IF(VALUE(LEFT(B126,1))&gt;3,VLOOKUP(VALUE(B126),PROYECCIONES!B:D,3,FALSE),0)),1 + COUNTIF($A$2:A125,"&gt;0"))</f>
        <v>0</v>
      </c>
      <c r="B126" s="52" t="s">
        <v>347</v>
      </c>
      <c r="C126" s="52" t="s">
        <v>167</v>
      </c>
      <c r="D126" s="53">
        <v>1.8626451492309599E-9</v>
      </c>
      <c r="E126" s="53">
        <v>15126</v>
      </c>
      <c r="F126" s="53">
        <v>0</v>
      </c>
      <c r="G126" s="53">
        <v>15126.000000001901</v>
      </c>
    </row>
    <row r="127" spans="1:7">
      <c r="A127">
        <f>IFERROR(IF(B127="",0,IF(VALUE(LEFT(B127,1))&gt;3,VLOOKUP(VALUE(B127),PROYECCIONES!B:D,3,FALSE),0)),1 + COUNTIF($A$2:A126,"&gt;0"))</f>
        <v>0</v>
      </c>
      <c r="B127" s="52" t="s">
        <v>442</v>
      </c>
      <c r="C127" s="52" t="s">
        <v>443</v>
      </c>
      <c r="D127" s="53">
        <v>0</v>
      </c>
      <c r="E127" s="53">
        <v>5000</v>
      </c>
      <c r="F127" s="53">
        <v>0</v>
      </c>
      <c r="G127" s="53">
        <v>5000</v>
      </c>
    </row>
    <row r="128" spans="1:7">
      <c r="A128">
        <f>IFERROR(IF(B128="",0,IF(VALUE(LEFT(B128,1))&gt;3,VLOOKUP(VALUE(B128),PROYECCIONES!B:D,3,FALSE),0)),1 + COUNTIF($A$2:A127,"&gt;0"))</f>
        <v>0</v>
      </c>
      <c r="B128" s="52" t="s">
        <v>348</v>
      </c>
      <c r="C128" s="52" t="s">
        <v>106</v>
      </c>
      <c r="D128" s="53">
        <v>0</v>
      </c>
      <c r="E128" s="53">
        <v>341781</v>
      </c>
      <c r="F128" s="53">
        <v>0</v>
      </c>
      <c r="G128" s="53">
        <v>341781</v>
      </c>
    </row>
    <row r="129" spans="1:7">
      <c r="A129">
        <f>IFERROR(IF(B129="",0,IF(VALUE(LEFT(B129,1))&gt;3,VLOOKUP(VALUE(B129),PROYECCIONES!B:D,3,FALSE),0)),1 + COUNTIF($A$2:A128,"&gt;0"))</f>
        <v>0</v>
      </c>
      <c r="B129" s="52" t="s">
        <v>370</v>
      </c>
      <c r="C129" s="52" t="s">
        <v>169</v>
      </c>
      <c r="D129" s="53">
        <v>0</v>
      </c>
      <c r="E129" s="53">
        <v>197.54</v>
      </c>
      <c r="F129" s="53">
        <v>0</v>
      </c>
      <c r="G129" s="53">
        <v>197.54</v>
      </c>
    </row>
    <row r="130" spans="1:7">
      <c r="A130">
        <f>IFERROR(IF(B130="",0,IF(VALUE(LEFT(B130,1))&gt;3,VLOOKUP(VALUE(B130),PROYECCIONES!B:D,3,FALSE),0)),1 + COUNTIF($A$2:A129,"&gt;0"))</f>
        <v>0</v>
      </c>
      <c r="B130" s="52" t="s">
        <v>349</v>
      </c>
      <c r="C130" s="52" t="s">
        <v>170</v>
      </c>
      <c r="D130" s="53">
        <v>-2.2351741790771501E-8</v>
      </c>
      <c r="E130" s="53">
        <v>948787.96</v>
      </c>
      <c r="F130" s="53">
        <v>0</v>
      </c>
      <c r="G130" s="53">
        <v>948787.95999997901</v>
      </c>
    </row>
    <row r="131" spans="1:7">
      <c r="A131">
        <f>IFERROR(IF(B131="",0,IF(VALUE(LEFT(B131,1))&gt;3,VLOOKUP(VALUE(B131),PROYECCIONES!B:D,3,FALSE),0)),1 + COUNTIF($A$2:A130,"&gt;0"))</f>
        <v>0</v>
      </c>
      <c r="B131" s="52" t="s">
        <v>533</v>
      </c>
      <c r="C131" s="52" t="s">
        <v>534</v>
      </c>
      <c r="D131" s="53">
        <v>0</v>
      </c>
      <c r="E131" s="53">
        <v>217245</v>
      </c>
      <c r="F131" s="53">
        <v>0</v>
      </c>
      <c r="G131" s="53">
        <v>217245</v>
      </c>
    </row>
    <row r="132" spans="1:7">
      <c r="A132">
        <f>IFERROR(IF(B132="",0,IF(VALUE(LEFT(B132,1))&gt;3,VLOOKUP(VALUE(B132),PROYECCIONES!B:D,3,FALSE),0)),1 + COUNTIF($A$2:A131,"&gt;0"))</f>
        <v>0</v>
      </c>
      <c r="B132" s="52" t="s">
        <v>422</v>
      </c>
      <c r="C132" s="52" t="s">
        <v>423</v>
      </c>
      <c r="D132" s="53">
        <v>0</v>
      </c>
      <c r="E132" s="53">
        <v>293788.88</v>
      </c>
      <c r="F132" s="53">
        <v>0</v>
      </c>
      <c r="G132" s="53">
        <v>293788.88</v>
      </c>
    </row>
    <row r="133" spans="1:7">
      <c r="A133">
        <f>IFERROR(IF(B133="",0,IF(VALUE(LEFT(B133,1))&gt;3,VLOOKUP(VALUE(B133),PROYECCIONES!B:D,3,FALSE),0)),1 + COUNTIF($A$2:A132,"&gt;0"))</f>
        <v>0</v>
      </c>
      <c r="B133" s="52" t="s">
        <v>351</v>
      </c>
      <c r="C133" s="52" t="s">
        <v>178</v>
      </c>
      <c r="D133" s="53">
        <v>0</v>
      </c>
      <c r="E133" s="53">
        <v>100776.92</v>
      </c>
      <c r="F133" s="53">
        <v>0</v>
      </c>
      <c r="G133" s="53">
        <v>100776.92</v>
      </c>
    </row>
    <row r="134" spans="1:7">
      <c r="A134">
        <f>IFERROR(IF(B134="",0,IF(VALUE(LEFT(B134,1))&gt;3,VLOOKUP(VALUE(B134),PROYECCIONES!B:D,3,FALSE),0)),1 + COUNTIF($A$2:A133,"&gt;0"))</f>
        <v>0</v>
      </c>
      <c r="B134" s="52" t="s">
        <v>352</v>
      </c>
      <c r="C134" s="52" t="s">
        <v>179</v>
      </c>
      <c r="D134" s="53">
        <v>0</v>
      </c>
      <c r="E134" s="53">
        <v>78011</v>
      </c>
      <c r="F134" s="53">
        <v>0</v>
      </c>
      <c r="G134" s="53">
        <v>78011</v>
      </c>
    </row>
    <row r="135" spans="1:7">
      <c r="A135">
        <f>IFERROR(IF(B135="",0,IF(VALUE(LEFT(B135,1))&gt;3,VLOOKUP(VALUE(B135),PROYECCIONES!B:D,3,FALSE),0)),1 + COUNTIF($A$2:A134,"&gt;0"))</f>
        <v>0</v>
      </c>
      <c r="B135" s="52" t="s">
        <v>397</v>
      </c>
      <c r="C135" s="52" t="s">
        <v>180</v>
      </c>
      <c r="D135" s="53">
        <v>0</v>
      </c>
      <c r="E135" s="53">
        <v>498425</v>
      </c>
      <c r="F135" s="53">
        <v>0</v>
      </c>
      <c r="G135" s="53">
        <v>498425</v>
      </c>
    </row>
    <row r="136" spans="1:7">
      <c r="A136">
        <f>IFERROR(IF(B136="",0,IF(VALUE(LEFT(B136,1))&gt;3,VLOOKUP(VALUE(B136),PROYECCIONES!B:D,3,FALSE),0)),1 + COUNTIF($A$2:A135,"&gt;0"))</f>
        <v>0</v>
      </c>
      <c r="B136" s="52" t="s">
        <v>353</v>
      </c>
      <c r="C136" s="52" t="s">
        <v>181</v>
      </c>
      <c r="D136" s="53">
        <v>0</v>
      </c>
      <c r="E136" s="53">
        <v>2244.64</v>
      </c>
      <c r="F136" s="53">
        <v>0</v>
      </c>
      <c r="G136" s="53">
        <v>2244.6400000000099</v>
      </c>
    </row>
    <row r="137" spans="1:7">
      <c r="A137">
        <f>IFERROR(IF(B137="",0,IF(VALUE(LEFT(B137,1))&gt;3,VLOOKUP(VALUE(B137),PROYECCIONES!B:D,3,FALSE),0)),1 + COUNTIF($A$2:A136,"&gt;0"))</f>
        <v>0</v>
      </c>
      <c r="B137" s="52" t="s">
        <v>535</v>
      </c>
      <c r="C137" s="52" t="s">
        <v>183</v>
      </c>
      <c r="D137" s="53">
        <v>0</v>
      </c>
      <c r="E137" s="53">
        <v>270777.77</v>
      </c>
      <c r="F137" s="53">
        <v>0</v>
      </c>
      <c r="G137" s="53">
        <v>270777.77</v>
      </c>
    </row>
    <row r="138" spans="1:7">
      <c r="A138">
        <f>IFERROR(IF(B138="",0,IF(VALUE(LEFT(B138,1))&gt;3,VLOOKUP(VALUE(B138),PROYECCIONES!B:D,3,FALSE),0)),1 + COUNTIF($A$2:A137,"&gt;0"))</f>
        <v>0</v>
      </c>
      <c r="B138" s="52" t="s">
        <v>354</v>
      </c>
      <c r="C138" s="52" t="s">
        <v>107</v>
      </c>
      <c r="D138" s="53">
        <v>0</v>
      </c>
      <c r="E138" s="53">
        <v>31068.59</v>
      </c>
      <c r="F138" s="53">
        <v>0</v>
      </c>
      <c r="G138" s="53">
        <v>31068.590000000098</v>
      </c>
    </row>
    <row r="139" spans="1:7">
      <c r="A139">
        <f>IFERROR(IF(B139="",0,IF(VALUE(LEFT(B139,1))&gt;3,VLOOKUP(VALUE(B139),PROYECCIONES!B:D,3,FALSE),0)),1 + COUNTIF($A$2:A138,"&gt;0"))</f>
        <v>0</v>
      </c>
      <c r="B139" s="52" t="s">
        <v>372</v>
      </c>
      <c r="C139" s="52" t="s">
        <v>184</v>
      </c>
      <c r="D139" s="53">
        <v>0</v>
      </c>
      <c r="E139" s="53">
        <v>182000</v>
      </c>
      <c r="F139" s="53">
        <v>0</v>
      </c>
      <c r="G139" s="53">
        <v>182000</v>
      </c>
    </row>
    <row r="140" spans="1:7">
      <c r="A140">
        <f>IFERROR(IF(B140="",0,IF(VALUE(LEFT(B140,1))&gt;3,VLOOKUP(VALUE(B140),PROYECCIONES!B:D,3,FALSE),0)),1 + COUNTIF($A$2:A139,"&gt;0"))</f>
        <v>0</v>
      </c>
      <c r="B140" s="52" t="s">
        <v>355</v>
      </c>
      <c r="C140" s="52" t="s">
        <v>185</v>
      </c>
      <c r="D140" s="53">
        <v>0</v>
      </c>
      <c r="E140" s="53">
        <v>150000</v>
      </c>
      <c r="F140" s="53">
        <v>0</v>
      </c>
      <c r="G140" s="53">
        <v>150000</v>
      </c>
    </row>
    <row r="141" spans="1:7">
      <c r="A141">
        <f>IFERROR(IF(B141="",0,IF(VALUE(LEFT(B141,1))&gt;3,VLOOKUP(VALUE(B141),PROYECCIONES!B:D,3,FALSE),0)),1 + COUNTIF($A$2:A140,"&gt;0"))</f>
        <v>0</v>
      </c>
      <c r="B141" s="52" t="s">
        <v>356</v>
      </c>
      <c r="C141" s="52" t="s">
        <v>99</v>
      </c>
      <c r="D141" s="53">
        <v>-3.4924596548080398E-10</v>
      </c>
      <c r="E141" s="53">
        <v>722.64</v>
      </c>
      <c r="F141" s="53">
        <v>5.82</v>
      </c>
      <c r="G141" s="53">
        <v>716.81999999965797</v>
      </c>
    </row>
    <row r="142" spans="1:7">
      <c r="A142">
        <f>IFERROR(IF(B142="",0,IF(VALUE(LEFT(B142,1))&gt;3,VLOOKUP(VALUE(B142),PROYECCIONES!B:D,3,FALSE),0)),1 + COUNTIF($A$2:A141,"&gt;0"))</f>
        <v>0</v>
      </c>
      <c r="B142" s="52" t="s">
        <v>415</v>
      </c>
      <c r="C142" s="52" t="s">
        <v>100</v>
      </c>
      <c r="D142" s="53">
        <v>0</v>
      </c>
      <c r="E142" s="53">
        <v>6823334</v>
      </c>
      <c r="F142" s="53">
        <v>0</v>
      </c>
      <c r="G142" s="53">
        <v>6823334</v>
      </c>
    </row>
    <row r="143" spans="1:7">
      <c r="A143">
        <f>IFERROR(IF(B143="",0,IF(VALUE(LEFT(B143,1))&gt;3,VLOOKUP(VALUE(B143),PROYECCIONES!B:D,3,FALSE),0)),1 + COUNTIF($A$2:A142,"&gt;0"))</f>
        <v>0</v>
      </c>
      <c r="B143" s="52" t="s">
        <v>416</v>
      </c>
      <c r="C143" s="52" t="s">
        <v>101</v>
      </c>
      <c r="D143" s="53">
        <v>0</v>
      </c>
      <c r="E143" s="53">
        <v>244845</v>
      </c>
      <c r="F143" s="53">
        <v>0</v>
      </c>
      <c r="G143" s="53">
        <v>244845</v>
      </c>
    </row>
    <row r="144" spans="1:7">
      <c r="A144">
        <f>IFERROR(IF(B144="",0,IF(VALUE(LEFT(B144,1))&gt;3,VLOOKUP(VALUE(B144),PROYECCIONES!B:D,3,FALSE),0)),1 + COUNTIF($A$2:A143,"&gt;0"))</f>
        <v>0</v>
      </c>
      <c r="B144" s="52" t="s">
        <v>398</v>
      </c>
      <c r="C144" s="52" t="s">
        <v>96</v>
      </c>
      <c r="D144" s="53">
        <v>0</v>
      </c>
      <c r="E144" s="53">
        <v>770960</v>
      </c>
      <c r="F144" s="53">
        <v>0</v>
      </c>
      <c r="G144" s="53">
        <v>770960</v>
      </c>
    </row>
    <row r="145" spans="1:7">
      <c r="A145">
        <f>IFERROR(IF(B145="",0,IF(VALUE(LEFT(B145,1))&gt;3,VLOOKUP(VALUE(B145),PROYECCIONES!B:D,3,FALSE),0)),1 + COUNTIF($A$2:A144,"&gt;0"))</f>
        <v>0</v>
      </c>
      <c r="B145" s="52" t="s">
        <v>399</v>
      </c>
      <c r="C145" s="52" t="s">
        <v>97</v>
      </c>
      <c r="D145" s="53">
        <v>0</v>
      </c>
      <c r="E145" s="53">
        <v>770960</v>
      </c>
      <c r="F145" s="53">
        <v>0</v>
      </c>
      <c r="G145" s="53">
        <v>770960</v>
      </c>
    </row>
    <row r="146" spans="1:7">
      <c r="A146">
        <f>IFERROR(IF(B146="",0,IF(VALUE(LEFT(B146,1))&gt;3,VLOOKUP(VALUE(B146),PROYECCIONES!B:D,3,FALSE),0)),1 + COUNTIF($A$2:A145,"&gt;0"))</f>
        <v>0</v>
      </c>
      <c r="B146" s="52" t="s">
        <v>400</v>
      </c>
      <c r="C146" s="52" t="s">
        <v>98</v>
      </c>
      <c r="D146" s="53">
        <v>0</v>
      </c>
      <c r="E146" s="53">
        <v>370834</v>
      </c>
      <c r="F146" s="53">
        <v>0</v>
      </c>
      <c r="G146" s="53">
        <v>370834</v>
      </c>
    </row>
    <row r="147" spans="1:7">
      <c r="A147">
        <f>IFERROR(IF(B147="",0,IF(VALUE(LEFT(B147,1))&gt;3,VLOOKUP(VALUE(B147),PROYECCIONES!B:D,3,FALSE),0)),1 + COUNTIF($A$2:A146,"&gt;0"))</f>
        <v>0</v>
      </c>
      <c r="B147" s="52" t="s">
        <v>401</v>
      </c>
      <c r="C147" s="52" t="s">
        <v>204</v>
      </c>
      <c r="D147" s="53">
        <v>0</v>
      </c>
      <c r="E147" s="53">
        <v>46458</v>
      </c>
      <c r="F147" s="53">
        <v>0</v>
      </c>
      <c r="G147" s="53">
        <v>46458</v>
      </c>
    </row>
    <row r="148" spans="1:7">
      <c r="A148">
        <f>IFERROR(IF(B148="",0,IF(VALUE(LEFT(B148,1))&gt;3,VLOOKUP(VALUE(B148),PROYECCIONES!B:D,3,FALSE),0)),1 + COUNTIF($A$2:A147,"&gt;0"))</f>
        <v>0</v>
      </c>
      <c r="B148" s="52" t="s">
        <v>402</v>
      </c>
      <c r="C148" s="52" t="s">
        <v>205</v>
      </c>
      <c r="D148" s="53">
        <v>0</v>
      </c>
      <c r="E148" s="53">
        <v>1068000</v>
      </c>
      <c r="F148" s="53">
        <v>0</v>
      </c>
      <c r="G148" s="53">
        <v>1068000</v>
      </c>
    </row>
    <row r="149" spans="1:7">
      <c r="A149">
        <f>IFERROR(IF(B149="",0,IF(VALUE(LEFT(B149,1))&gt;3,VLOOKUP(VALUE(B149),PROYECCIONES!B:D,3,FALSE),0)),1 + COUNTIF($A$2:A148,"&gt;0"))</f>
        <v>0</v>
      </c>
      <c r="B149" s="52" t="s">
        <v>403</v>
      </c>
      <c r="C149" s="52" t="s">
        <v>206</v>
      </c>
      <c r="D149" s="53">
        <v>0</v>
      </c>
      <c r="E149" s="53">
        <v>356000</v>
      </c>
      <c r="F149" s="53">
        <v>0</v>
      </c>
      <c r="G149" s="53">
        <v>356000</v>
      </c>
    </row>
    <row r="150" spans="1:7">
      <c r="A150">
        <f>IFERROR(IF(B150="",0,IF(VALUE(LEFT(B150,1))&gt;3,VLOOKUP(VALUE(B150),PROYECCIONES!B:D,3,FALSE),0)),1 + COUNTIF($A$2:A149,"&gt;0"))</f>
        <v>0</v>
      </c>
      <c r="B150" s="52" t="s">
        <v>417</v>
      </c>
      <c r="C150" s="52" t="s">
        <v>164</v>
      </c>
      <c r="D150" s="53">
        <v>0</v>
      </c>
      <c r="E150" s="53">
        <v>2400000</v>
      </c>
      <c r="F150" s="53">
        <v>0</v>
      </c>
      <c r="G150" s="53">
        <v>2400000</v>
      </c>
    </row>
    <row r="151" spans="1:7">
      <c r="A151">
        <f>IFERROR(IF(B151="",0,IF(VALUE(LEFT(B151,1))&gt;3,VLOOKUP(VALUE(B151),PROYECCIONES!B:D,3,FALSE),0)),1 + COUNTIF($A$2:A150,"&gt;0"))</f>
        <v>0</v>
      </c>
      <c r="B151" s="52" t="s">
        <v>404</v>
      </c>
      <c r="C151" s="52" t="s">
        <v>102</v>
      </c>
      <c r="D151" s="53">
        <v>0</v>
      </c>
      <c r="E151" s="53">
        <v>92516</v>
      </c>
      <c r="F151" s="53">
        <v>0</v>
      </c>
      <c r="G151" s="53">
        <v>92516</v>
      </c>
    </row>
    <row r="152" spans="1:7">
      <c r="A152">
        <f>IFERROR(IF(B152="",0,IF(VALUE(LEFT(B152,1))&gt;3,VLOOKUP(VALUE(B152),PROYECCIONES!B:D,3,FALSE),0)),1 + COUNTIF($A$2:A151,"&gt;0"))</f>
        <v>0</v>
      </c>
      <c r="B152" s="52" t="s">
        <v>357</v>
      </c>
      <c r="C152" s="52" t="s">
        <v>357</v>
      </c>
      <c r="D152" s="53">
        <v>0</v>
      </c>
      <c r="E152" s="53" t="s">
        <v>595</v>
      </c>
      <c r="F152" s="53" t="s">
        <v>595</v>
      </c>
      <c r="G152" s="53">
        <v>0</v>
      </c>
    </row>
    <row r="153" spans="1:7">
      <c r="A153">
        <f>IFERROR(IF(B153="",0,IF(VALUE(LEFT(B153,1))&gt;3,VLOOKUP(VALUE(B153),PROYECCIONES!B:D,3,FALSE),0)),1 + COUNTIF($A$2:A152,"&gt;0"))</f>
        <v>0</v>
      </c>
      <c r="B153" s="185"/>
      <c r="C153" s="185"/>
      <c r="D153" s="53"/>
      <c r="E153" s="53"/>
      <c r="F153" s="53"/>
      <c r="G153" s="53"/>
    </row>
    <row r="154" spans="1:7">
      <c r="A154">
        <f>IFERROR(IF(B154="",0,IF(VALUE(LEFT(B154,1))&gt;3,VLOOKUP(VALUE(B154),PROYECCIONES!B:D,3,FALSE),0)),1 + COUNTIF($A$2:A153,"&gt;0"))</f>
        <v>0</v>
      </c>
      <c r="B154" s="185"/>
      <c r="C154" s="185"/>
      <c r="D154" s="53"/>
      <c r="E154" s="53"/>
      <c r="F154" s="53"/>
      <c r="G154" s="53"/>
    </row>
    <row r="155" spans="1:7">
      <c r="A155">
        <f>IFERROR(IF(B155="",0,IF(VALUE(LEFT(B155,1))&gt;3,VLOOKUP(VALUE(B155),PROYECCIONES!B:D,3,FALSE),0)),1 + COUNTIF($A$2:A154,"&gt;0"))</f>
        <v>0</v>
      </c>
      <c r="B155" s="185"/>
      <c r="C155" s="185"/>
      <c r="D155" s="53"/>
      <c r="E155" s="53"/>
      <c r="F155" s="53"/>
      <c r="G155" s="53"/>
    </row>
    <row r="156" spans="1:7">
      <c r="A156">
        <f>IFERROR(IF(B156="",0,IF(VALUE(LEFT(B156,1))&gt;3,VLOOKUP(VALUE(B156),PROYECCIONES!B:D,3,FALSE),0)),1 + COUNTIF($A$2:A155,"&gt;0"))</f>
        <v>0</v>
      </c>
      <c r="B156" s="185"/>
      <c r="C156" s="185"/>
      <c r="D156" s="53"/>
      <c r="E156" s="53"/>
      <c r="F156" s="53"/>
      <c r="G156" s="53"/>
    </row>
    <row r="157" spans="1:7">
      <c r="A157">
        <f>IFERROR(IF(B157="",0,IF(VALUE(LEFT(B157,1))&gt;3,VLOOKUP(VALUE(B157),PROYECCIONES!B:D,3,FALSE),0)),1 + COUNTIF($A$2:A156,"&gt;0"))</f>
        <v>0</v>
      </c>
      <c r="B157" s="185"/>
      <c r="C157" s="185"/>
      <c r="D157" s="53"/>
      <c r="E157" s="53"/>
      <c r="F157" s="53"/>
      <c r="G157" s="53"/>
    </row>
    <row r="158" spans="1:7">
      <c r="A158">
        <f>IFERROR(IF(B158="",0,IF(VALUE(LEFT(B158,1))&gt;3,VLOOKUP(VALUE(B158),PROYECCIONES!B:D,3,FALSE),0)),1 + COUNTIF($A$2:A157,"&gt;0"))</f>
        <v>0</v>
      </c>
      <c r="B158" s="185"/>
      <c r="C158" s="185"/>
      <c r="D158" s="53"/>
      <c r="E158" s="53"/>
      <c r="F158" s="53"/>
      <c r="G158" s="53"/>
    </row>
    <row r="159" spans="1:7">
      <c r="A159">
        <f>IFERROR(IF(B159="",0,IF(VALUE(LEFT(B159,1))&gt;3,VLOOKUP(VALUE(B159),PROYECCIONES!B:D,3,FALSE),0)),1 + COUNTIF($A$2:A158,"&gt;0"))</f>
        <v>0</v>
      </c>
      <c r="B159" s="185"/>
      <c r="C159" s="185"/>
      <c r="D159" s="53"/>
      <c r="E159" s="53"/>
      <c r="F159" s="53"/>
      <c r="G159" s="53"/>
    </row>
    <row r="160" spans="1:7">
      <c r="A160">
        <f>IFERROR(IF(B160="",0,IF(VALUE(LEFT(B160,1))&gt;3,VLOOKUP(VALUE(B160),PROYECCIONES!B:D,3,FALSE),0)),1 + COUNTIF($A$2:A159,"&gt;0"))</f>
        <v>0</v>
      </c>
      <c r="B160" s="185"/>
      <c r="C160" s="185"/>
      <c r="D160" s="53"/>
      <c r="E160" s="53"/>
      <c r="F160" s="53"/>
      <c r="G160" s="53"/>
    </row>
    <row r="161" spans="1:7">
      <c r="A161">
        <f>IFERROR(IF(B161="",0,IF(VALUE(LEFT(B161,1))&gt;3,VLOOKUP(VALUE(B161),PROYECCIONES!B:D,3,FALSE),0)),1 + COUNTIF($A$2:A160,"&gt;0"))</f>
        <v>0</v>
      </c>
      <c r="B161" s="185"/>
      <c r="C161" s="185"/>
      <c r="D161" s="53"/>
      <c r="E161" s="53"/>
      <c r="F161" s="53"/>
      <c r="G161" s="53"/>
    </row>
    <row r="162" spans="1:7">
      <c r="A162">
        <f>IFERROR(IF(B162="",0,IF(VALUE(LEFT(B162,1))&gt;3,VLOOKUP(VALUE(B162),PROYECCIONES!B:D,3,FALSE),0)),1 + COUNTIF($A$2:A161,"&gt;0"))</f>
        <v>0</v>
      </c>
      <c r="B162" s="185"/>
      <c r="C162" s="185"/>
      <c r="D162" s="53"/>
      <c r="E162" s="53"/>
      <c r="F162" s="53"/>
      <c r="G162" s="53"/>
    </row>
    <row r="163" spans="1:7">
      <c r="A163">
        <f>IFERROR(IF(B163="",0,IF(VALUE(LEFT(B163,1))&gt;3,VLOOKUP(VALUE(B163),PROYECCIONES!B:D,3,FALSE),0)),1 + COUNTIF($A$2:A162,"&gt;0"))</f>
        <v>0</v>
      </c>
      <c r="B163" s="185"/>
      <c r="C163" s="185"/>
      <c r="D163" s="53"/>
      <c r="E163" s="53"/>
      <c r="F163" s="53"/>
      <c r="G163" s="53"/>
    </row>
    <row r="164" spans="1:7">
      <c r="A164">
        <f>IFERROR(IF(B164="",0,IF(VALUE(LEFT(B164,1))&gt;3,VLOOKUP(VALUE(B164),PROYECCIONES!B:D,3,FALSE),0)),1 + COUNTIF($A$2:A163,"&gt;0"))</f>
        <v>0</v>
      </c>
      <c r="B164" s="185"/>
      <c r="C164" s="185"/>
      <c r="D164" s="53"/>
      <c r="E164" s="53"/>
      <c r="F164" s="53"/>
      <c r="G164" s="53"/>
    </row>
    <row r="165" spans="1:7">
      <c r="A165">
        <f>IFERROR(IF(B165="",0,IF(VALUE(LEFT(B165,1))&gt;3,VLOOKUP(VALUE(B165),PROYECCIONES!B:D,3,FALSE),0)),1 + COUNTIF($A$2:A164,"&gt;0"))</f>
        <v>0</v>
      </c>
      <c r="B165" s="185"/>
      <c r="C165" s="185"/>
      <c r="D165" s="53"/>
      <c r="E165" s="53"/>
      <c r="F165" s="53"/>
      <c r="G165" s="53"/>
    </row>
    <row r="166" spans="1:7">
      <c r="A166">
        <f>IFERROR(IF(B166="",0,IF(VALUE(LEFT(B166,1))&gt;3,VLOOKUP(VALUE(B166),PROYECCIONES!B:D,3,FALSE),0)),1 + COUNTIF($A$2:A165,"&gt;0"))</f>
        <v>0</v>
      </c>
      <c r="B166" s="185"/>
      <c r="C166" s="185"/>
      <c r="D166" s="53"/>
      <c r="E166" s="53"/>
      <c r="F166" s="53"/>
      <c r="G166" s="53"/>
    </row>
    <row r="167" spans="1:7">
      <c r="A167">
        <f>IFERROR(IF(B167="",0,IF(VALUE(LEFT(B167,1))&gt;3,VLOOKUP(VALUE(B167),PROYECCIONES!B:D,3,FALSE),0)),1 + COUNTIF($A$2:A166,"&gt;0"))</f>
        <v>0</v>
      </c>
      <c r="B167" s="185"/>
      <c r="C167" s="185"/>
      <c r="D167" s="53"/>
      <c r="E167" s="53"/>
      <c r="F167" s="53"/>
      <c r="G167" s="53"/>
    </row>
    <row r="168" spans="1:7">
      <c r="A168">
        <f>IFERROR(IF(B168="",0,IF(VALUE(LEFT(B168,1))&gt;3,VLOOKUP(VALUE(B168),PROYECCIONES!B:D,3,FALSE),0)),1 + COUNTIF($A$2:A167,"&gt;0"))</f>
        <v>0</v>
      </c>
      <c r="B168" s="185"/>
      <c r="C168" s="185"/>
      <c r="D168" s="53"/>
      <c r="E168" s="53"/>
      <c r="F168" s="53"/>
      <c r="G168" s="53"/>
    </row>
    <row r="169" spans="1:7">
      <c r="A169">
        <f>IFERROR(IF(B169="",0,IF(VALUE(LEFT(B169,1))&gt;3,VLOOKUP(VALUE(B169),PROYECCIONES!B:D,3,FALSE),0)),1 + COUNTIF($A$2:A168,"&gt;0"))</f>
        <v>0</v>
      </c>
      <c r="B169" s="185"/>
      <c r="C169" s="185"/>
      <c r="D169" s="53"/>
      <c r="E169" s="53"/>
      <c r="F169" s="53"/>
      <c r="G169" s="53"/>
    </row>
    <row r="170" spans="1:7">
      <c r="A170">
        <f>IFERROR(IF(B170="",0,IF(VALUE(LEFT(B170,1))&gt;3,VLOOKUP(VALUE(B170),PROYECCIONES!B:D,3,FALSE),0)),1 + COUNTIF($A$2:A169,"&gt;0"))</f>
        <v>0</v>
      </c>
      <c r="B170" s="185"/>
      <c r="C170" s="185"/>
      <c r="D170" s="53"/>
      <c r="E170" s="53"/>
      <c r="F170" s="53"/>
      <c r="G170" s="53"/>
    </row>
    <row r="171" spans="1:7">
      <c r="A171">
        <f>IFERROR(IF(B171="",0,IF(VALUE(LEFT(B171,1))&gt;3,VLOOKUP(VALUE(B171),PROYECCIONES!B:D,3,FALSE),0)),1 + COUNTIF($A$2:A170,"&gt;0"))</f>
        <v>0</v>
      </c>
      <c r="B171" s="185"/>
      <c r="C171" s="185"/>
      <c r="D171" s="53"/>
      <c r="E171" s="53"/>
      <c r="F171" s="53"/>
      <c r="G171" s="53"/>
    </row>
    <row r="172" spans="1:7">
      <c r="A172">
        <f>IFERROR(IF(B172="",0,IF(VALUE(LEFT(B172,1))&gt;3,VLOOKUP(VALUE(B172),PROYECCIONES!B:D,3,FALSE),0)),1 + COUNTIF($A$2:A171,"&gt;0"))</f>
        <v>0</v>
      </c>
      <c r="B172" s="185"/>
      <c r="C172" s="185"/>
      <c r="D172" s="53"/>
      <c r="E172" s="53"/>
      <c r="F172" s="53"/>
      <c r="G172" s="53"/>
    </row>
    <row r="173" spans="1:7">
      <c r="A173">
        <f>IFERROR(IF(B173="",0,IF(VALUE(LEFT(B173,1))&gt;3,VLOOKUP(VALUE(B173),PROYECCIONES!B:D,3,FALSE),0)),1 + COUNTIF($A$2:A172,"&gt;0"))</f>
        <v>0</v>
      </c>
      <c r="B173" s="185"/>
      <c r="C173" s="185"/>
      <c r="D173" s="53"/>
      <c r="E173" s="53"/>
      <c r="F173" s="53"/>
      <c r="G173" s="53"/>
    </row>
    <row r="174" spans="1:7">
      <c r="A174">
        <f>IFERROR(IF(B174="",0,IF(VALUE(LEFT(B174,1))&gt;3,VLOOKUP(VALUE(B174),PROYECCIONES!B:D,3,FALSE),0)),1 + COUNTIF($A$2:A173,"&gt;0"))</f>
        <v>0</v>
      </c>
      <c r="B174" s="185"/>
      <c r="C174" s="185"/>
      <c r="D174" s="53"/>
      <c r="E174" s="53"/>
      <c r="F174" s="53"/>
      <c r="G174" s="53"/>
    </row>
    <row r="175" spans="1:7">
      <c r="A175">
        <f>IFERROR(IF(B175="",0,IF(VALUE(LEFT(B175,1))&gt;3,VLOOKUP(VALUE(B175),PROYECCIONES!B:D,3,FALSE),0)),1 + COUNTIF($A$2:A174,"&gt;0"))</f>
        <v>0</v>
      </c>
      <c r="B175" s="185"/>
      <c r="C175" s="185"/>
      <c r="D175" s="53"/>
      <c r="E175" s="53"/>
      <c r="F175" s="53"/>
      <c r="G175" s="53"/>
    </row>
    <row r="176" spans="1:7">
      <c r="A176">
        <f>IFERROR(IF(B176="",0,IF(VALUE(LEFT(B176,1))&gt;3,VLOOKUP(VALUE(B176),PROYECCIONES!B:D,3,FALSE),0)),1 + COUNTIF($A$2:A175,"&gt;0"))</f>
        <v>0</v>
      </c>
      <c r="B176" s="185"/>
      <c r="C176" s="185"/>
      <c r="D176" s="53"/>
      <c r="E176" s="53"/>
      <c r="F176" s="53"/>
      <c r="G176" s="53"/>
    </row>
    <row r="177" spans="1:7">
      <c r="A177">
        <f>IFERROR(IF(B177="",0,IF(VALUE(LEFT(B177,1))&gt;3,VLOOKUP(VALUE(B177),PROYECCIONES!B:D,3,FALSE),0)),1 + COUNTIF($A$2:A176,"&gt;0"))</f>
        <v>0</v>
      </c>
      <c r="B177" s="185"/>
      <c r="C177" s="185"/>
      <c r="D177" s="53"/>
      <c r="E177" s="53"/>
      <c r="F177" s="53"/>
      <c r="G177" s="53"/>
    </row>
    <row r="178" spans="1:7">
      <c r="A178">
        <f>IFERROR(IF(B178="",0,IF(VALUE(LEFT(B178,1))&gt;3,VLOOKUP(VALUE(B178),PROYECCIONES!B:D,3,FALSE),0)),1 + COUNTIF($A$2:A177,"&gt;0"))</f>
        <v>0</v>
      </c>
      <c r="B178" s="185"/>
      <c r="C178" s="185"/>
      <c r="D178" s="53"/>
      <c r="E178" s="53"/>
      <c r="F178" s="53"/>
      <c r="G178" s="53"/>
    </row>
    <row r="179" spans="1:7">
      <c r="A179">
        <f>IFERROR(IF(B179="",0,IF(VALUE(LEFT(B179,1))&gt;3,VLOOKUP(VALUE(B179),PROYECCIONES!B:D,3,FALSE),0)),1 + COUNTIF($A$2:A178,"&gt;0"))</f>
        <v>0</v>
      </c>
      <c r="B179" s="185"/>
      <c r="C179" s="185"/>
      <c r="D179" s="53"/>
      <c r="E179" s="53"/>
      <c r="F179" s="53"/>
      <c r="G179" s="53"/>
    </row>
    <row r="180" spans="1:7">
      <c r="A180">
        <f>IFERROR(IF(B180="",0,IF(VALUE(LEFT(B180,1))&gt;3,VLOOKUP(VALUE(B180),PROYECCIONES!B:D,3,FALSE),0)),1 + COUNTIF($A$2:A179,"&gt;0"))</f>
        <v>0</v>
      </c>
      <c r="B180" s="185"/>
      <c r="C180" s="185"/>
      <c r="D180" s="53"/>
      <c r="E180" s="53"/>
      <c r="F180" s="53"/>
      <c r="G180" s="53"/>
    </row>
    <row r="181" spans="1:7">
      <c r="A181">
        <f>IFERROR(IF(B181="",0,IF(VALUE(LEFT(B181,1))&gt;3,VLOOKUP(VALUE(B181),PROYECCIONES!B:D,3,FALSE),0)),1 + COUNTIF($A$2:A180,"&gt;0"))</f>
        <v>0</v>
      </c>
      <c r="B181" s="185"/>
      <c r="C181" s="185"/>
      <c r="D181" s="53"/>
      <c r="E181" s="53"/>
      <c r="F181" s="53"/>
      <c r="G181" s="53"/>
    </row>
    <row r="182" spans="1:7">
      <c r="A182">
        <f>IFERROR(IF(B182="",0,IF(VALUE(LEFT(B182,1))&gt;3,VLOOKUP(VALUE(B182),PROYECCIONES!B:D,3,FALSE),0)),1 + COUNTIF($A$2:A181,"&gt;0"))</f>
        <v>0</v>
      </c>
      <c r="B182" s="185"/>
      <c r="C182" s="185"/>
      <c r="D182" s="53"/>
      <c r="E182" s="53"/>
      <c r="F182" s="53"/>
      <c r="G182" s="53"/>
    </row>
    <row r="183" spans="1:7">
      <c r="A183">
        <f>IFERROR(IF(B183="",0,IF(VALUE(LEFT(B183,1))&gt;3,VLOOKUP(VALUE(B183),PROYECCIONES!B:D,3,FALSE),0)),1 + COUNTIF($A$2:A182,"&gt;0"))</f>
        <v>0</v>
      </c>
      <c r="B183" s="185"/>
      <c r="C183" s="185"/>
      <c r="D183" s="53"/>
      <c r="E183" s="53"/>
      <c r="F183" s="53"/>
      <c r="G183" s="53"/>
    </row>
    <row r="184" spans="1:7">
      <c r="A184">
        <f>IFERROR(IF(B184="",0,IF(VALUE(LEFT(B184,1))&gt;3,VLOOKUP(VALUE(B184),PROYECCIONES!B:D,3,FALSE),0)),1 + COUNTIF($A$2:A183,"&gt;0"))</f>
        <v>0</v>
      </c>
      <c r="B184" s="185"/>
      <c r="C184" s="185"/>
      <c r="D184" s="53"/>
      <c r="E184" s="53"/>
      <c r="F184" s="53"/>
      <c r="G184" s="53"/>
    </row>
    <row r="185" spans="1:7">
      <c r="A185">
        <f>IFERROR(IF(B185="",0,IF(VALUE(LEFT(B185,1))&gt;3,VLOOKUP(VALUE(B185),PROYECCIONES!B:D,3,FALSE),0)),1 + COUNTIF($A$2:A184,"&gt;0"))</f>
        <v>0</v>
      </c>
      <c r="B185" s="185"/>
      <c r="C185" s="185"/>
      <c r="D185" s="53"/>
      <c r="E185" s="53"/>
      <c r="F185" s="53"/>
      <c r="G185" s="53"/>
    </row>
    <row r="186" spans="1:7">
      <c r="A186">
        <f>IFERROR(IF(B186="",0,IF(VALUE(LEFT(B186,1))&gt;3,VLOOKUP(VALUE(B186),PROYECCIONES!B:D,3,FALSE),0)),1 + COUNTIF($A$2:A185,"&gt;0"))</f>
        <v>0</v>
      </c>
      <c r="B186" s="185"/>
      <c r="C186" s="185"/>
      <c r="D186" s="53"/>
      <c r="E186" s="53"/>
      <c r="F186" s="53"/>
      <c r="G186" s="53"/>
    </row>
    <row r="187" spans="1:7">
      <c r="A187">
        <f>IFERROR(IF(B187="",0,IF(VALUE(LEFT(B187,1))&gt;3,VLOOKUP(VALUE(B187),PROYECCIONES!B:D,3,FALSE),0)),1 + COUNTIF($A$2:A186,"&gt;0"))</f>
        <v>0</v>
      </c>
      <c r="B187" s="185"/>
      <c r="C187" s="185"/>
      <c r="D187" s="53"/>
      <c r="E187" s="53"/>
      <c r="F187" s="53"/>
      <c r="G187" s="53"/>
    </row>
    <row r="188" spans="1:7">
      <c r="A188">
        <f>IFERROR(IF(B188="",0,IF(VALUE(LEFT(B188,1))&gt;3,VLOOKUP(VALUE(B188),PROYECCIONES!B:D,3,FALSE),0)),1 + COUNTIF($A$2:A187,"&gt;0"))</f>
        <v>0</v>
      </c>
      <c r="B188" s="185"/>
      <c r="C188" s="185"/>
      <c r="D188" s="53"/>
      <c r="E188" s="53"/>
      <c r="F188" s="53"/>
      <c r="G188" s="53"/>
    </row>
    <row r="189" spans="1:7">
      <c r="A189">
        <f>IFERROR(IF(B189="",0,IF(VALUE(LEFT(B189,1))&gt;3,VLOOKUP(VALUE(B189),PROYECCIONES!B:D,3,FALSE),0)),1 + COUNTIF($A$2:A188,"&gt;0"))</f>
        <v>0</v>
      </c>
      <c r="B189" s="185"/>
      <c r="C189" s="185"/>
      <c r="D189" s="53"/>
      <c r="E189" s="53"/>
      <c r="F189" s="53"/>
      <c r="G189" s="53"/>
    </row>
    <row r="190" spans="1:7">
      <c r="A190">
        <f>IFERROR(IF(B190="",0,IF(VALUE(LEFT(B190,1))&gt;3,VLOOKUP(VALUE(B190),PROYECCIONES!B:D,3,FALSE),0)),1 + COUNTIF($A$2:A189,"&gt;0"))</f>
        <v>0</v>
      </c>
      <c r="B190" s="185"/>
      <c r="C190" s="185"/>
      <c r="D190" s="53"/>
      <c r="E190" s="53"/>
      <c r="F190" s="53"/>
      <c r="G190" s="53"/>
    </row>
    <row r="191" spans="1:7">
      <c r="A191">
        <f>IFERROR(IF(B191="",0,IF(VALUE(LEFT(B191,1))&gt;3,VLOOKUP(VALUE(B191),PROYECCIONES!B:D,3,FALSE),0)),1 + COUNTIF($A$2:A190,"&gt;0"))</f>
        <v>0</v>
      </c>
    </row>
    <row r="192" spans="1:7">
      <c r="A192">
        <f>IFERROR(IF(B192="",0,IF(VALUE(LEFT(B192,1))&gt;3,VLOOKUP(VALUE(B192),PROYECCIONES!B:D,3,FALSE),0)),1 + COUNTIF($A$2:A191,"&gt;0"))</f>
        <v>0</v>
      </c>
    </row>
    <row r="193" spans="1:1">
      <c r="A193">
        <f>IFERROR(IF(B193="",0,IF(VALUE(LEFT(B193,1))&gt;3,VLOOKUP(VALUE(B193),PROYECCIONES!B:D,3,FALSE),0)),1 + COUNTIF($A$2:A192,"&gt;0"))</f>
        <v>0</v>
      </c>
    </row>
    <row r="194" spans="1:1">
      <c r="A194">
        <f>IFERROR(IF(B194="",0,IF(VALUE(LEFT(B194,1))&gt;3,VLOOKUP(VALUE(B194),PROYECCIONES!B:D,3,FALSE),0)),1 + COUNTIF($A$2:A193,"&gt;0"))</f>
        <v>0</v>
      </c>
    </row>
    <row r="195" spans="1:1">
      <c r="A195">
        <f>IFERROR(IF(B195="",0,IF(VALUE(LEFT(B195,1))&gt;3,VLOOKUP(VALUE(B195),PROYECCIONES!B:D,3,FALSE),0)),1 + COUNTIF($A$2:A194,"&gt;0"))</f>
        <v>0</v>
      </c>
    </row>
    <row r="196" spans="1:1">
      <c r="A196">
        <f>IFERROR(IF(B196="",0,IF(VALUE(LEFT(B196,1))&gt;3,VLOOKUP(VALUE(B196),PROYECCIONES!B:D,3,FALSE),0)),1 + COUNTIF($A$2:A195,"&gt;0"))</f>
        <v>0</v>
      </c>
    </row>
    <row r="197" spans="1:1">
      <c r="A197">
        <f>IFERROR(IF(B197="",0,IF(VALUE(LEFT(B197,1))&gt;3,VLOOKUP(VALUE(B197),PROYECCIONES!B:D,3,FALSE),0)),1 + COUNTIF($A$2:A196,"&gt;0"))</f>
        <v>0</v>
      </c>
    </row>
    <row r="198" spans="1:1">
      <c r="A198">
        <f>IFERROR(IF(B198="",0,IF(VALUE(LEFT(B198,1))&gt;3,VLOOKUP(VALUE(B198),PROYECCIONES!B:D,3,FALSE),0)),1 + COUNTIF($A$2:A197,"&gt;0"))</f>
        <v>0</v>
      </c>
    </row>
    <row r="199" spans="1:1">
      <c r="A199">
        <f>IFERROR(IF(B199="",0,IF(VALUE(LEFT(B199,1))&gt;3,VLOOKUP(VALUE(B199),PROYECCIONES!B:D,3,FALSE),0)),1 + COUNTIF($A$2:A198,"&gt;0"))</f>
        <v>0</v>
      </c>
    </row>
    <row r="200" spans="1:1">
      <c r="A200">
        <f>IFERROR(IF(B200="",0,IF(VALUE(LEFT(B200,1))&gt;3,VLOOKUP(VALUE(B200),PROYECCIONES!B:D,3,FALSE),0)),1 + COUNTIF($A$2:A199,"&gt;0"))</f>
        <v>0</v>
      </c>
    </row>
    <row r="201" spans="1:1">
      <c r="A201">
        <f>IFERROR(IF(B201="",0,IF(VALUE(LEFT(B201,1))&gt;3,VLOOKUP(VALUE(B201),PROYECCIONES!B:D,3,FALSE),0)),1 + COUNTIF($A$2:A200,"&gt;0"))</f>
        <v>0</v>
      </c>
    </row>
    <row r="202" spans="1:1">
      <c r="A202">
        <f>IFERROR(IF(B202="",0,IF(VALUE(LEFT(B202,1))&gt;3,VLOOKUP(VALUE(B202),PROYECCIONES!B:D,3,FALSE),0)),1 + COUNTIF($A$2:A201,"&gt;0"))</f>
        <v>0</v>
      </c>
    </row>
    <row r="203" spans="1:1">
      <c r="A203">
        <f>IFERROR(IF(B203="",0,IF(VALUE(LEFT(B203,1))&gt;3,VLOOKUP(VALUE(B203),PROYECCIONES!B:D,3,FALSE),0)),1 + COUNTIF($A$2:A202,"&gt;0"))</f>
        <v>0</v>
      </c>
    </row>
    <row r="204" spans="1:1">
      <c r="A204">
        <f>IFERROR(IF(B204="",0,IF(VALUE(LEFT(B204,1))&gt;3,VLOOKUP(VALUE(B204),PROYECCIONES!B:D,3,FALSE),0)),1 + COUNTIF($A$2:A203,"&gt;0"))</f>
        <v>0</v>
      </c>
    </row>
    <row r="205" spans="1:1">
      <c r="A205">
        <f>IFERROR(IF(B205="",0,IF(VALUE(LEFT(B205,1))&gt;3,VLOOKUP(VALUE(B205),PROYECCIONES!B:D,3,FALSE),0)),1 + COUNTIF($A$2:A204,"&gt;0"))</f>
        <v>0</v>
      </c>
    </row>
    <row r="206" spans="1:1">
      <c r="A206">
        <f>IFERROR(IF(B206="",0,IF(VALUE(LEFT(B206,1))&gt;3,VLOOKUP(VALUE(B206),PROYECCIONES!B:D,3,FALSE),0)),1 + COUNTIF($A$2:A205,"&gt;0"))</f>
        <v>0</v>
      </c>
    </row>
    <row r="207" spans="1:1">
      <c r="A207">
        <f>IFERROR(IF(B207="",0,IF(VALUE(LEFT(B207,1))&gt;3,VLOOKUP(VALUE(B207),PROYECCIONES!B:D,3,FALSE),0)),1 + COUNTIF($A$2:A206,"&gt;0"))</f>
        <v>0</v>
      </c>
    </row>
    <row r="208" spans="1:1">
      <c r="A208">
        <f>IFERROR(IF(B208="",0,IF(VALUE(LEFT(B208,1))&gt;3,VLOOKUP(VALUE(B208),PROYECCIONES!B:D,3,FALSE),0)),1 + COUNTIF($A$2:A207,"&gt;0"))</f>
        <v>0</v>
      </c>
    </row>
    <row r="209" spans="1:1">
      <c r="A209">
        <f>IFERROR(IF(B209="",0,IF(VALUE(LEFT(B209,1))&gt;3,VLOOKUP(VALUE(B209),PROYECCIONES!B:D,3,FALSE),0)),1 + COUNTIF($A$2:A208,"&gt;0"))</f>
        <v>0</v>
      </c>
    </row>
    <row r="210" spans="1:1">
      <c r="A210">
        <f>IFERROR(IF(B210="",0,IF(VALUE(LEFT(B210,1))&gt;3,VLOOKUP(VALUE(B210),PROYECCIONES!B:D,3,FALSE),0)),1 + COUNTIF($A$2:A209,"&gt;0"))</f>
        <v>0</v>
      </c>
    </row>
    <row r="211" spans="1:1">
      <c r="A211">
        <f>IFERROR(IF(B211="",0,IF(VALUE(LEFT(B211,1))&gt;3,VLOOKUP(VALUE(B211),PROYECCIONES!B:D,3,FALSE),0)),1 + COUNTIF($A$2:A210,"&gt;0"))</f>
        <v>0</v>
      </c>
    </row>
    <row r="212" spans="1:1">
      <c r="A212">
        <f>IFERROR(IF(B212="",0,IF(VALUE(LEFT(B212,1))&gt;3,VLOOKUP(VALUE(B212),PROYECCIONES!B:D,3,FALSE),0)),1 + COUNTIF($A$2:A211,"&gt;0"))</f>
        <v>0</v>
      </c>
    </row>
    <row r="213" spans="1:1">
      <c r="A213">
        <f>IFERROR(IF(B213="",0,IF(VALUE(LEFT(B213,1))&gt;3,VLOOKUP(VALUE(B213),PROYECCIONES!B:D,3,FALSE),0)),1 + COUNTIF($A$2:A212,"&gt;0"))</f>
        <v>0</v>
      </c>
    </row>
    <row r="214" spans="1:1">
      <c r="A214">
        <f>IFERROR(IF(B214="",0,IF(VALUE(LEFT(B214,1))&gt;3,VLOOKUP(VALUE(B214),PROYECCIONES!B:D,3,FALSE),0)),1 + COUNTIF($A$2:A213,"&gt;0"))</f>
        <v>0</v>
      </c>
    </row>
    <row r="215" spans="1:1">
      <c r="A215">
        <f>IFERROR(IF(B215="",0,IF(VALUE(LEFT(B215,1))&gt;3,VLOOKUP(VALUE(B215),PROYECCIONES!B:D,3,FALSE),0)),1 + COUNTIF($A$2:A214,"&gt;0"))</f>
        <v>0</v>
      </c>
    </row>
    <row r="216" spans="1:1">
      <c r="A216">
        <f>IFERROR(IF(B216="",0,IF(VALUE(LEFT(B216,1))&gt;3,VLOOKUP(VALUE(B216),PROYECCIONES!B:D,3,FALSE),0)),1 + COUNTIF($A$2:A215,"&gt;0"))</f>
        <v>0</v>
      </c>
    </row>
    <row r="217" spans="1:1">
      <c r="A217">
        <f>IFERROR(IF(B217="",0,IF(VALUE(LEFT(B217,1))&gt;3,VLOOKUP(VALUE(B217),PROYECCIONES!B:D,3,FALSE),0)),1 + COUNTIF($A$2:A216,"&gt;0"))</f>
        <v>0</v>
      </c>
    </row>
    <row r="218" spans="1:1">
      <c r="A218">
        <f>IFERROR(IF(B218="",0,IF(VALUE(LEFT(B218,1))&gt;3,VLOOKUP(VALUE(B218),PROYECCIONES!B:D,3,FALSE),0)),1 + COUNTIF($A$2:A217,"&gt;0"))</f>
        <v>0</v>
      </c>
    </row>
    <row r="219" spans="1:1">
      <c r="A219">
        <f>IFERROR(IF(B219="",0,IF(VALUE(LEFT(B219,1))&gt;3,VLOOKUP(VALUE(B219),PROYECCIONES!B:D,3,FALSE),0)),1 + COUNTIF($A$2:A218,"&gt;0"))</f>
        <v>0</v>
      </c>
    </row>
    <row r="220" spans="1:1">
      <c r="A220">
        <f>IFERROR(IF(B220="",0,IF(VALUE(LEFT(B220,1))&gt;3,VLOOKUP(VALUE(B220),PROYECCIONES!B:D,3,FALSE),0)),1 + COUNTIF($A$2:A219,"&gt;0"))</f>
        <v>0</v>
      </c>
    </row>
    <row r="221" spans="1:1">
      <c r="A221">
        <f>IFERROR(IF(B221="",0,IF(VALUE(LEFT(B221,1))&gt;3,VLOOKUP(VALUE(B221),PROYECCIONES!B:D,3,FALSE),0)),1 + COUNTIF($A$2:A220,"&gt;0"))</f>
        <v>0</v>
      </c>
    </row>
    <row r="222" spans="1:1">
      <c r="A222">
        <f>IFERROR(IF(B222="",0,IF(VALUE(LEFT(B222,1))&gt;3,VLOOKUP(VALUE(B222),PROYECCIONES!B:D,3,FALSE),0)),1 + COUNTIF($A$2:A221,"&gt;0"))</f>
        <v>0</v>
      </c>
    </row>
    <row r="223" spans="1:1">
      <c r="A223">
        <f>IFERROR(IF(B223="",0,IF(VALUE(LEFT(B223,1))&gt;3,VLOOKUP(VALUE(B223),PROYECCIONES!B:D,3,FALSE),0)),1 + COUNTIF($A$2:A222,"&gt;0"))</f>
        <v>0</v>
      </c>
    </row>
    <row r="224" spans="1:1">
      <c r="A224">
        <f>IFERROR(IF(B224="",0,IF(VALUE(LEFT(B224,1))&gt;3,VLOOKUP(VALUE(B224),PROYECCIONES!B:D,3,FALSE),0)),1 + COUNTIF($A$2:A223,"&gt;0"))</f>
        <v>0</v>
      </c>
    </row>
    <row r="225" spans="1:1">
      <c r="A225">
        <f>IFERROR(IF(B225="",0,IF(VALUE(LEFT(B225,1))&gt;3,VLOOKUP(VALUE(B225),PROYECCIONES!B:D,3,FALSE),0)),1 + COUNTIF($A$2:A224,"&gt;0"))</f>
        <v>0</v>
      </c>
    </row>
    <row r="226" spans="1:1">
      <c r="A226">
        <f>IFERROR(IF(B226="",0,IF(VALUE(LEFT(B226,1))&gt;3,VLOOKUP(VALUE(B226),PROYECCIONES!B:D,3,FALSE),0)),1 + COUNTIF($A$2:A225,"&gt;0"))</f>
        <v>0</v>
      </c>
    </row>
    <row r="227" spans="1:1">
      <c r="A227">
        <f>IFERROR(IF(B227="",0,IF(VALUE(LEFT(B227,1))&gt;3,VLOOKUP(VALUE(B227),PROYECCIONES!B:D,3,FALSE),0)),1 + COUNTIF($A$2:A226,"&gt;0"))</f>
        <v>0</v>
      </c>
    </row>
    <row r="228" spans="1:1">
      <c r="A228">
        <f>IFERROR(IF(B228="",0,IF(VALUE(LEFT(B228,1))&gt;3,VLOOKUP(VALUE(B228),PROYECCIONES!B:D,3,FALSE),0)),1 + COUNTIF($A$2:A227,"&gt;0"))</f>
        <v>0</v>
      </c>
    </row>
    <row r="229" spans="1:1">
      <c r="A229">
        <f>IFERROR(IF(B229="",0,IF(VALUE(LEFT(B229,1))&gt;3,VLOOKUP(VALUE(B229),PROYECCIONES!B:D,3,FALSE),0)),1 + COUNTIF($A$2:A228,"&gt;0"))</f>
        <v>0</v>
      </c>
    </row>
    <row r="230" spans="1:1">
      <c r="A230">
        <f>IFERROR(IF(B230="",0,IF(VALUE(LEFT(B230,1))&gt;3,VLOOKUP(VALUE(B230),PROYECCIONES!B:D,3,FALSE),0)),1 + COUNTIF($A$2:A229,"&gt;0"))</f>
        <v>0</v>
      </c>
    </row>
    <row r="231" spans="1:1">
      <c r="A231">
        <f>IFERROR(IF(B231="",0,IF(VALUE(LEFT(B231,1))&gt;3,VLOOKUP(VALUE(B231),PROYECCIONES!B:D,3,FALSE),0)),1 + COUNTIF($A$2:A230,"&gt;0"))</f>
        <v>0</v>
      </c>
    </row>
    <row r="232" spans="1:1">
      <c r="A232">
        <f>IFERROR(IF(B232="",0,IF(VALUE(LEFT(B232,1))&gt;3,VLOOKUP(VALUE(B232),PROYECCIONES!B:D,3,FALSE),0)),1 + COUNTIF($A$2:A231,"&gt;0"))</f>
        <v>0</v>
      </c>
    </row>
    <row r="233" spans="1:1">
      <c r="A233">
        <f>IFERROR(IF(B233="",0,IF(VALUE(LEFT(B233,1))&gt;3,VLOOKUP(VALUE(B233),PROYECCIONES!B:D,3,FALSE),0)),1 + COUNTIF($A$2:A232,"&gt;0"))</f>
        <v>0</v>
      </c>
    </row>
    <row r="234" spans="1:1">
      <c r="A234">
        <f>IFERROR(IF(B234="",0,IF(VALUE(LEFT(B234,1))&gt;3,VLOOKUP(VALUE(B234),PROYECCIONES!B:D,3,FALSE),0)),1 + COUNTIF($A$2:A233,"&gt;0"))</f>
        <v>0</v>
      </c>
    </row>
    <row r="235" spans="1:1">
      <c r="A235">
        <f>IFERROR(IF(B235="",0,IF(VALUE(LEFT(B235,1))&gt;3,VLOOKUP(VALUE(B235),PROYECCIONES!B:D,3,FALSE),0)),1 + COUNTIF($A$2:A234,"&gt;0"))</f>
        <v>0</v>
      </c>
    </row>
    <row r="236" spans="1:1">
      <c r="A236">
        <f>IFERROR(IF(B236="",0,IF(VALUE(LEFT(B236,1))&gt;3,VLOOKUP(VALUE(B236),PROYECCIONES!B:D,3,FALSE),0)),1 + COUNTIF($A$2:A235,"&gt;0"))</f>
        <v>0</v>
      </c>
    </row>
    <row r="237" spans="1:1">
      <c r="A237">
        <f>IFERROR(IF(B237="",0,IF(VALUE(LEFT(B237,1))&gt;3,VLOOKUP(VALUE(B237),PROYECCIONES!B:D,3,FALSE),0)),1 + COUNTIF($A$2:A236,"&gt;0"))</f>
        <v>0</v>
      </c>
    </row>
    <row r="238" spans="1:1">
      <c r="A238">
        <f>IFERROR(IF(B238="",0,IF(VALUE(LEFT(B238,1))&gt;3,VLOOKUP(VALUE(B238),PROYECCIONES!B:D,3,FALSE),0)),1 + COUNTIF($A$2:A237,"&gt;0"))</f>
        <v>0</v>
      </c>
    </row>
    <row r="239" spans="1:1">
      <c r="A239">
        <f>IFERROR(IF(B239="",0,IF(VALUE(LEFT(B239,1))&gt;3,VLOOKUP(VALUE(B239),PROYECCIONES!B:D,3,FALSE),0)),1 + COUNTIF($A$2:A238,"&gt;0"))</f>
        <v>0</v>
      </c>
    </row>
    <row r="240" spans="1:1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autoFilter ref="A2:I300" xr:uid="{EC1BB005-C061-4BB9-888B-C42BFA3E17A1}"/>
  <mergeCells count="4">
    <mergeCell ref="B1:C1"/>
    <mergeCell ref="D1:D2"/>
    <mergeCell ref="E1:F1"/>
    <mergeCell ref="G1:G2"/>
  </mergeCells>
  <conditionalFormatting sqref="B191:B1048576">
    <cfRule type="expression" dxfId="16" priority="4">
      <formula>$A191="No Agregada"</formula>
    </cfRule>
  </conditionalFormatting>
  <conditionalFormatting sqref="H4:H124">
    <cfRule type="cellIs" dxfId="15" priority="3" operator="greaterThan">
      <formula>0</formula>
    </cfRule>
  </conditionalFormatting>
  <conditionalFormatting sqref="H3:H300">
    <cfRule type="expression" dxfId="14" priority="1">
      <formula>A3&lt;&gt;0</formula>
    </cfRule>
  </conditionalFormatting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BD65-DAFB-4AD6-91DF-FE5A4B399390}">
  <sheetPr codeName="Hoja22"/>
  <dimension ref="A1:M300"/>
  <sheetViews>
    <sheetView topLeftCell="B1" workbookViewId="0">
      <pane ySplit="2" topLeftCell="A3" activePane="bottomLeft" state="frozen"/>
      <selection activeCell="R14" sqref="R14"/>
      <selection pane="bottomLeft" activeCell="R14" sqref="R14"/>
    </sheetView>
  </sheetViews>
  <sheetFormatPr baseColWidth="10" defaultRowHeight="15"/>
  <cols>
    <col min="1" max="1" width="22.140625" hidden="1" customWidth="1"/>
    <col min="2" max="2" width="8.85546875" style="61" customWidth="1"/>
    <col min="3" max="3" width="29.7109375" style="61" customWidth="1"/>
    <col min="4" max="7" width="12.5703125" style="184" bestFit="1" customWidth="1"/>
    <col min="9" max="11" width="11.42578125" hidden="1" customWidth="1"/>
    <col min="12" max="12" width="5.7109375" hidden="1" customWidth="1"/>
    <col min="13" max="13" width="11.42578125" hidden="1" customWidth="1"/>
  </cols>
  <sheetData>
    <row r="1" spans="1:13">
      <c r="B1" s="284" t="s">
        <v>94</v>
      </c>
      <c r="C1" s="285"/>
      <c r="D1" s="286" t="s">
        <v>265</v>
      </c>
      <c r="E1" s="288" t="s">
        <v>266</v>
      </c>
      <c r="F1" s="289"/>
      <c r="G1" s="286" t="s">
        <v>267</v>
      </c>
    </row>
    <row r="2" spans="1:13">
      <c r="B2" s="51" t="s">
        <v>268</v>
      </c>
      <c r="C2" s="51" t="s">
        <v>269</v>
      </c>
      <c r="D2" s="287"/>
      <c r="E2" s="65" t="s">
        <v>270</v>
      </c>
      <c r="F2" s="65" t="s">
        <v>271</v>
      </c>
      <c r="G2" s="287"/>
    </row>
    <row r="3" spans="1:13">
      <c r="A3">
        <f>IFERROR(IF(B3="",0,IF(VALUE(LEFT(B3,1))&gt;3,VLOOKUP(VALUE(B3),PROYECCIONES!B:D,3,FALSE),0)),1 + COUNTIF($A$2:A2,"&gt;0"))</f>
        <v>0</v>
      </c>
      <c r="B3" s="52" t="s">
        <v>358</v>
      </c>
      <c r="C3" s="52" t="s">
        <v>359</v>
      </c>
      <c r="D3" s="53">
        <v>3385</v>
      </c>
      <c r="E3" s="53">
        <v>1017915</v>
      </c>
      <c r="F3" s="53">
        <v>567300</v>
      </c>
      <c r="G3" s="53">
        <v>454000</v>
      </c>
      <c r="I3">
        <f>COUNTIF(A3:A300,"&gt;0")</f>
        <v>0</v>
      </c>
      <c r="J3" t="s">
        <v>3</v>
      </c>
      <c r="K3" t="s">
        <v>223</v>
      </c>
      <c r="L3" t="s">
        <v>224</v>
      </c>
    </row>
    <row r="4" spans="1:13">
      <c r="A4">
        <f>IFERROR(IF(B4="",0,IF(VALUE(LEFT(B4,1))&gt;3,VLOOKUP(VALUE(B4),PROYECCIONES!B:D,3,FALSE),0)),1 + COUNTIF($A$2:A3,"&gt;0"))</f>
        <v>0</v>
      </c>
      <c r="B4" s="52" t="s">
        <v>272</v>
      </c>
      <c r="C4" s="52" t="s">
        <v>468</v>
      </c>
      <c r="D4" s="53">
        <v>3602229.1400008202</v>
      </c>
      <c r="E4" s="53">
        <v>115845978.29000001</v>
      </c>
      <c r="F4" s="53">
        <v>110317665.48999999</v>
      </c>
      <c r="G4" s="53">
        <v>9130541.9400010109</v>
      </c>
      <c r="I4" s="123">
        <v>1</v>
      </c>
      <c r="J4" t="str">
        <f>IFERROR(VLOOKUP(I4,'Balance a Feb'!$A$3:$C$300,2,FALSE),"")</f>
        <v/>
      </c>
      <c r="K4" t="str">
        <f>IFERROR(VLOOKUP(I4,'Balance a Feb'!$A$3:$C$300,3,FALSE),"")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</row>
    <row r="5" spans="1:13">
      <c r="A5">
        <f>IFERROR(IF(B5="",0,IF(VALUE(LEFT(B5,1))&gt;3,VLOOKUP(VALUE(B5),PROYECCIONES!B:D,3,FALSE),0)),1 + COUNTIF($A$2:A4,"&gt;0"))</f>
        <v>0</v>
      </c>
      <c r="B5" s="52" t="s">
        <v>273</v>
      </c>
      <c r="C5" s="52" t="s">
        <v>469</v>
      </c>
      <c r="D5" s="53">
        <v>2038.61000000685</v>
      </c>
      <c r="E5" s="53">
        <v>0</v>
      </c>
      <c r="F5" s="53">
        <v>0</v>
      </c>
      <c r="G5" s="53">
        <v>2038.61000000685</v>
      </c>
      <c r="I5" s="123">
        <v>2</v>
      </c>
      <c r="J5" t="str">
        <f>IFERROR(VLOOKUP(I5,'Balance a Feb'!$A$3:$C$300,2,FALSE),"")</f>
        <v/>
      </c>
      <c r="K5" t="str">
        <f>IFERROR(VLOOKUP(I5,'Balance a Feb'!$A$3:$C$300,3,FALSE),"")</f>
        <v/>
      </c>
      <c r="L5" t="str">
        <f>IFERROR(IF(AND(VALUE(LEFT(J5,1))&gt;=6,VALUE(LEFT(J5,1))&lt;=7),_xlfn.XMATCH(VALUE(J5),PROYECCIONES!$B$1:$B$38,-1,1),_xlfn.XMATCH(VALUE(J5),PROYECCIONES!$B$1:$B$333,-1,1)),"")</f>
        <v/>
      </c>
    </row>
    <row r="6" spans="1:13">
      <c r="A6">
        <f>IFERROR(IF(B6="",0,IF(VALUE(LEFT(B6,1))&gt;3,VLOOKUP(VALUE(B6),PROYECCIONES!B:D,3,FALSE),0)),1 + COUNTIF($A$2:A5,"&gt;0"))</f>
        <v>0</v>
      </c>
      <c r="B6" s="52" t="s">
        <v>418</v>
      </c>
      <c r="C6" s="52" t="s">
        <v>470</v>
      </c>
      <c r="D6" s="53">
        <v>30748859.73</v>
      </c>
      <c r="E6" s="53">
        <v>23146000</v>
      </c>
      <c r="F6" s="53">
        <v>45786728.649999999</v>
      </c>
      <c r="G6" s="53">
        <v>8108131.0800000001</v>
      </c>
      <c r="I6" s="123">
        <v>3</v>
      </c>
      <c r="J6" t="str">
        <f>IFERROR(VLOOKUP(I6,'Balance a Feb'!$A$3:$C$300,2,FALSE),"")</f>
        <v/>
      </c>
      <c r="K6" t="str">
        <f>IFERROR(VLOOKUP(I6,'Balance a Feb'!$A$3:$C$300,3,FALSE),"")</f>
        <v/>
      </c>
      <c r="L6" t="str">
        <f>IFERROR(IF(AND(VALUE(LEFT(J6,1))&gt;=6,VALUE(LEFT(J6,1))&lt;=7),_xlfn.XMATCH(VALUE(J6),PROYECCIONES!$B$1:$B$38,-1,1),_xlfn.XMATCH(VALUE(J6),PROYECCIONES!$B$1:$B$333,-1,1)),"")</f>
        <v/>
      </c>
    </row>
    <row r="7" spans="1:13">
      <c r="A7">
        <f>IFERROR(IF(B7="",0,IF(VALUE(LEFT(B7,1))&gt;3,VLOOKUP(VALUE(B7),PROYECCIONES!B:D,3,FALSE),0)),1 + COUNTIF($A$2:A6,"&gt;0"))</f>
        <v>0</v>
      </c>
      <c r="B7" s="52" t="s">
        <v>118</v>
      </c>
      <c r="C7" s="52" t="s">
        <v>225</v>
      </c>
      <c r="D7" s="53">
        <v>38903066.089999899</v>
      </c>
      <c r="E7" s="53">
        <v>128021573.91</v>
      </c>
      <c r="F7" s="53">
        <v>132408442</v>
      </c>
      <c r="G7" s="53">
        <v>34516198</v>
      </c>
      <c r="I7" s="123">
        <v>4</v>
      </c>
      <c r="J7" t="str">
        <f>IFERROR(VLOOKUP(I7,'Balance a Feb'!$A$3:$C$300,2,FALSE),"")</f>
        <v/>
      </c>
      <c r="K7" t="str">
        <f>IFERROR(VLOOKUP(I7,'Balance a Feb'!$A$3:$C$300,3,FALSE),"")</f>
        <v/>
      </c>
      <c r="L7" t="str">
        <f>IFERROR(IF(AND(VALUE(LEFT(J7,1))&gt;=6,VALUE(LEFT(J7,1))&lt;=7),_xlfn.XMATCH(VALUE(J7),PROYECCIONES!$B$1:$B$38,-1,1),_xlfn.XMATCH(VALUE(J7),PROYECCIONES!$B$1:$B$333,-1,1)),"")</f>
        <v/>
      </c>
    </row>
    <row r="8" spans="1:13">
      <c r="A8">
        <f>IFERROR(IF(B8="",0,IF(VALUE(LEFT(B8,1))&gt;3,VLOOKUP(VALUE(B8),PROYECCIONES!B:D,3,FALSE),0)),1 + COUNTIF($A$2:A7,"&gt;0"))</f>
        <v>0</v>
      </c>
      <c r="B8" s="52" t="s">
        <v>274</v>
      </c>
      <c r="C8" s="52" t="s">
        <v>226</v>
      </c>
      <c r="D8" s="53">
        <v>239052845.71000001</v>
      </c>
      <c r="E8" s="53">
        <v>24454452.25</v>
      </c>
      <c r="F8" s="53">
        <v>9023020.0800000001</v>
      </c>
      <c r="G8" s="53">
        <v>254484277.88</v>
      </c>
      <c r="I8" s="123">
        <v>5</v>
      </c>
      <c r="J8" t="str">
        <f>IFERROR(VLOOKUP(I8,'Balance a Feb'!$A$3:$C$300,2,FALSE),"")</f>
        <v/>
      </c>
      <c r="K8" t="str">
        <f>IFERROR(VLOOKUP(I8,'Balance a Feb'!$A$3:$C$300,3,FALSE),"")</f>
        <v/>
      </c>
      <c r="L8" t="str">
        <f>IFERROR(IF(AND(VALUE(LEFT(J8,1))&gt;=6,VALUE(LEFT(J8,1))&lt;=7),_xlfn.XMATCH(VALUE(J8),PROYECCIONES!$B$1:$B$38,-1,1),_xlfn.XMATCH(VALUE(J8),PROYECCIONES!$B$1:$B$333,-1,1)),"")</f>
        <v/>
      </c>
    </row>
    <row r="9" spans="1:13">
      <c r="A9">
        <f>IFERROR(IF(B9="",0,IF(VALUE(LEFT(B9,1))&gt;3,VLOOKUP(VALUE(B9),PROYECCIONES!B:D,3,FALSE),0)),1 + COUNTIF($A$2:A8,"&gt;0"))</f>
        <v>0</v>
      </c>
      <c r="B9" s="52" t="s">
        <v>275</v>
      </c>
      <c r="C9" s="52" t="s">
        <v>227</v>
      </c>
      <c r="D9" s="53">
        <v>14200000</v>
      </c>
      <c r="E9" s="53">
        <v>1300000</v>
      </c>
      <c r="F9" s="53">
        <v>0</v>
      </c>
      <c r="G9" s="53">
        <v>15500000</v>
      </c>
      <c r="I9" s="123">
        <v>6</v>
      </c>
      <c r="J9" t="str">
        <f>IFERROR(VLOOKUP(I9,'Balance a Feb'!$A$3:$C$300,2,FALSE),"")</f>
        <v/>
      </c>
      <c r="K9" t="str">
        <f>IFERROR(VLOOKUP(I9,'Balance a Feb'!$A$3:$C$300,3,FALSE),"")</f>
        <v/>
      </c>
      <c r="L9" t="str">
        <f>IFERROR(IF(AND(VALUE(LEFT(J9,1))&gt;=6,VALUE(LEFT(J9,1))&lt;=7),_xlfn.XMATCH(VALUE(J9),PROYECCIONES!$B$1:$B$38,-1,1),_xlfn.XMATCH(VALUE(J9),PROYECCIONES!$B$1:$B$333,-1,1)),"")</f>
        <v/>
      </c>
    </row>
    <row r="10" spans="1:13">
      <c r="A10">
        <f>IFERROR(IF(B10="",0,IF(VALUE(LEFT(B10,1))&gt;3,VLOOKUP(VALUE(B10),PROYECCIONES!B:D,3,FALSE),0)),1 + COUNTIF($A$2:A9,"&gt;0"))</f>
        <v>0</v>
      </c>
      <c r="B10" s="52" t="s">
        <v>276</v>
      </c>
      <c r="C10" s="52" t="s">
        <v>228</v>
      </c>
      <c r="D10" s="53">
        <v>35066662</v>
      </c>
      <c r="E10" s="53">
        <v>2000008</v>
      </c>
      <c r="F10" s="53">
        <v>1000000</v>
      </c>
      <c r="G10" s="53">
        <v>36066670</v>
      </c>
      <c r="I10" s="123">
        <v>7</v>
      </c>
      <c r="J10" t="str">
        <f>IFERROR(VLOOKUP(I10,'Balance a Feb'!$A$3:$C$300,2,FALSE),"")</f>
        <v/>
      </c>
      <c r="K10" t="str">
        <f>IFERROR(VLOOKUP(I10,'Balance a Feb'!$A$3:$C$300,3,FALSE),"")</f>
        <v/>
      </c>
      <c r="L10" t="str">
        <f>IFERROR(IF(AND(VALUE(LEFT(J10,1))&gt;=6,VALUE(LEFT(J10,1))&lt;=7),_xlfn.XMATCH(VALUE(J10),PROYECCIONES!$B$1:$B$38,-1,1),_xlfn.XMATCH(VALUE(J10),PROYECCIONES!$B$1:$B$333,-1,1)),"")</f>
        <v/>
      </c>
    </row>
    <row r="11" spans="1:13">
      <c r="A11">
        <f>IFERROR(IF(B11="",0,IF(VALUE(LEFT(B11,1))&gt;3,VLOOKUP(VALUE(B11),PROYECCIONES!B:D,3,FALSE),0)),1 + COUNTIF($A$2:A10,"&gt;0"))</f>
        <v>0</v>
      </c>
      <c r="B11" s="52" t="s">
        <v>277</v>
      </c>
      <c r="C11" s="52" t="s">
        <v>229</v>
      </c>
      <c r="D11" s="53">
        <v>0</v>
      </c>
      <c r="E11" s="53">
        <v>11873198</v>
      </c>
      <c r="F11" s="53">
        <v>5725494</v>
      </c>
      <c r="G11" s="53">
        <v>6147704</v>
      </c>
      <c r="I11" s="123">
        <v>8</v>
      </c>
      <c r="J11" t="str">
        <f>IFERROR(VLOOKUP(I11,'Balance a Feb'!$A$3:$C$300,2,FALSE),"")</f>
        <v/>
      </c>
      <c r="K11" t="str">
        <f>IFERROR(VLOOKUP(I11,'Balance a Feb'!$A$3:$C$300,3,FALSE),"")</f>
        <v/>
      </c>
      <c r="L11" t="str">
        <f>IFERROR(IF(AND(VALUE(LEFT(J11,1))&gt;=6,VALUE(LEFT(J11,1))&lt;=7),_xlfn.XMATCH(VALUE(J11),PROYECCIONES!$B$1:$B$38,-1,1),_xlfn.XMATCH(VALUE(J11),PROYECCIONES!$B$1:$B$333,-1,1)),"")</f>
        <v/>
      </c>
    </row>
    <row r="12" spans="1:13">
      <c r="A12">
        <f>IFERROR(IF(B12="",0,IF(VALUE(LEFT(B12,1))&gt;3,VLOOKUP(VALUE(B12),PROYECCIONES!B:D,3,FALSE),0)),1 + COUNTIF($A$2:A11,"&gt;0"))</f>
        <v>0</v>
      </c>
      <c r="B12" s="52" t="s">
        <v>278</v>
      </c>
      <c r="C12" s="52" t="s">
        <v>230</v>
      </c>
      <c r="D12" s="53">
        <v>55910253.5</v>
      </c>
      <c r="E12" s="53">
        <v>11566359</v>
      </c>
      <c r="F12" s="53">
        <v>0</v>
      </c>
      <c r="G12" s="53">
        <v>67476612.5</v>
      </c>
      <c r="I12" s="123">
        <v>9</v>
      </c>
      <c r="J12" t="str">
        <f>IFERROR(VLOOKUP(I12,'Balance a Feb'!$A$3:$C$300,2,FALSE),"")</f>
        <v/>
      </c>
      <c r="K12" t="str">
        <f>IFERROR(VLOOKUP(I12,'Balance a Feb'!$A$3:$C$300,3,FALSE),"")</f>
        <v/>
      </c>
      <c r="L12" t="str">
        <f>IFERROR(IF(AND(VALUE(LEFT(J12,1))&gt;=6,VALUE(LEFT(J12,1))&lt;=7),_xlfn.XMATCH(VALUE(J12),PROYECCIONES!$B$1:$B$38,-1,1),_xlfn.XMATCH(VALUE(J12),PROYECCIONES!$B$1:$B$333,-1,1)),"")</f>
        <v/>
      </c>
    </row>
    <row r="13" spans="1:13">
      <c r="A13">
        <f>IFERROR(IF(B13="",0,IF(VALUE(LEFT(B13,1))&gt;3,VLOOKUP(VALUE(B13),PROYECCIONES!B:D,3,FALSE),0)),1 + COUNTIF($A$2:A12,"&gt;0"))</f>
        <v>0</v>
      </c>
      <c r="B13" s="52" t="s">
        <v>425</v>
      </c>
      <c r="C13" s="52" t="s">
        <v>426</v>
      </c>
      <c r="D13" s="53">
        <v>230000</v>
      </c>
      <c r="E13" s="53">
        <v>0</v>
      </c>
      <c r="F13" s="53">
        <v>0</v>
      </c>
      <c r="G13" s="53">
        <v>230000</v>
      </c>
      <c r="I13" s="123">
        <v>10</v>
      </c>
      <c r="J13" t="str">
        <f>IFERROR(VLOOKUP(I13,'Balance a Feb'!$A$3:$C$300,2,FALSE),"")</f>
        <v/>
      </c>
      <c r="K13" t="str">
        <f>IFERROR(VLOOKUP(I13,'Balance a Feb'!$A$3:$C$300,3,FALSE),"")</f>
        <v/>
      </c>
      <c r="L13" t="str">
        <f>IFERROR(IF(AND(VALUE(LEFT(J13,1))&gt;=6,VALUE(LEFT(J13,1))&lt;=7),_xlfn.XMATCH(VALUE(J13),PROYECCIONES!$B$1:$B$38,-1,1),_xlfn.XMATCH(VALUE(J13),PROYECCIONES!$B$1:$B$333,-1,1)),"")</f>
        <v/>
      </c>
    </row>
    <row r="14" spans="1:13">
      <c r="A14">
        <f>IFERROR(IF(B14="",0,IF(VALUE(LEFT(B14,1))&gt;3,VLOOKUP(VALUE(B14),PROYECCIONES!B:D,3,FALSE),0)),1 + COUNTIF($A$2:A13,"&gt;0"))</f>
        <v>0</v>
      </c>
      <c r="B14" s="52" t="s">
        <v>454</v>
      </c>
      <c r="C14" s="52" t="s">
        <v>455</v>
      </c>
      <c r="D14" s="53">
        <v>24000</v>
      </c>
      <c r="E14" s="53">
        <v>0</v>
      </c>
      <c r="F14" s="53">
        <v>0</v>
      </c>
      <c r="G14" s="53">
        <v>24000</v>
      </c>
      <c r="I14" s="123">
        <v>11</v>
      </c>
      <c r="J14" t="str">
        <f>IFERROR(VLOOKUP(I14,'Balance a Feb'!$A$3:$C$300,2,FALSE),"")</f>
        <v/>
      </c>
      <c r="K14" t="str">
        <f>IFERROR(VLOOKUP(I14,'Balance a Feb'!$A$3:$C$300,3,FALSE),"")</f>
        <v/>
      </c>
      <c r="L14" t="str">
        <f>IFERROR(IF(AND(VALUE(LEFT(J14,1))&gt;=6,VALUE(LEFT(J14,1))&lt;=7),_xlfn.XMATCH(VALUE(J14),PROYECCIONES!$B$1:$B$38,-1,1),_xlfn.XMATCH(VALUE(J14),PROYECCIONES!$B$1:$B$333,-1,1)),"")</f>
        <v/>
      </c>
    </row>
    <row r="15" spans="1:13">
      <c r="A15">
        <f>IFERROR(IF(B15="",0,IF(VALUE(LEFT(B15,1))&gt;3,VLOOKUP(VALUE(B15),PROYECCIONES!B:D,3,FALSE),0)),1 + COUNTIF($A$2:A14,"&gt;0"))</f>
        <v>0</v>
      </c>
      <c r="B15" s="52" t="s">
        <v>279</v>
      </c>
      <c r="C15" s="52" t="s">
        <v>231</v>
      </c>
      <c r="D15" s="53">
        <v>922339.449999996</v>
      </c>
      <c r="E15" s="53">
        <v>592423</v>
      </c>
      <c r="F15" s="53">
        <v>816136</v>
      </c>
      <c r="G15" s="53">
        <v>698626.449999996</v>
      </c>
      <c r="I15" s="123">
        <v>12</v>
      </c>
      <c r="J15" t="str">
        <f>IFERROR(VLOOKUP(I15,'Balance a Feb'!$A$3:$C$300,2,FALSE),"")</f>
        <v/>
      </c>
      <c r="K15" t="str">
        <f>IFERROR(VLOOKUP(I15,'Balance a Feb'!$A$3:$C$300,3,FALSE),"")</f>
        <v/>
      </c>
      <c r="L15" t="str">
        <f>IFERROR(IF(AND(VALUE(LEFT(J15,1))&gt;=6,VALUE(LEFT(J15,1))&lt;=7),_xlfn.XMATCH(VALUE(J15),PROYECCIONES!$B$1:$B$38,-1,1),_xlfn.XMATCH(VALUE(J15),PROYECCIONES!$B$1:$B$333,-1,1)),"")</f>
        <v/>
      </c>
    </row>
    <row r="16" spans="1:13">
      <c r="A16">
        <f>IFERROR(IF(B16="",0,IF(VALUE(LEFT(B16,1))&gt;3,VLOOKUP(VALUE(B16),PROYECCIONES!B:D,3,FALSE),0)),1 + COUNTIF($A$2:A15,"&gt;0"))</f>
        <v>0</v>
      </c>
      <c r="B16" s="52" t="s">
        <v>280</v>
      </c>
      <c r="C16" s="52" t="s">
        <v>232</v>
      </c>
      <c r="D16" s="53">
        <v>1595197.91</v>
      </c>
      <c r="E16" s="53">
        <v>172192</v>
      </c>
      <c r="F16" s="53">
        <v>0</v>
      </c>
      <c r="G16" s="53">
        <v>1767389.91</v>
      </c>
      <c r="I16" s="123">
        <v>13</v>
      </c>
      <c r="J16" t="str">
        <f>IFERROR(VLOOKUP(I16,'Balance a Feb'!$A$3:$C$300,2,FALSE),"")</f>
        <v/>
      </c>
      <c r="K16" t="str">
        <f>IFERROR(VLOOKUP(I16,'Balance a Feb'!$A$3:$C$300,3,FALSE),"")</f>
        <v/>
      </c>
      <c r="L16" t="str">
        <f>IFERROR(IF(AND(VALUE(LEFT(J16,1))&gt;=6,VALUE(LEFT(J16,1))&lt;=7),_xlfn.XMATCH(VALUE(J16),PROYECCIONES!$B$1:$B$38,-1,1),_xlfn.XMATCH(VALUE(J16),PROYECCIONES!$B$1:$B$333,-1,1)),"")</f>
        <v/>
      </c>
    </row>
    <row r="17" spans="1:12">
      <c r="A17">
        <f>IFERROR(IF(B17="",0,IF(VALUE(LEFT(B17,1))&gt;3,VLOOKUP(VALUE(B17),PROYECCIONES!B:D,3,FALSE),0)),1 + COUNTIF($A$2:A16,"&gt;0"))</f>
        <v>0</v>
      </c>
      <c r="B17" s="52" t="s">
        <v>281</v>
      </c>
      <c r="C17" s="52" t="s">
        <v>233</v>
      </c>
      <c r="D17" s="53">
        <v>0</v>
      </c>
      <c r="E17" s="53">
        <v>24720</v>
      </c>
      <c r="F17" s="53">
        <v>0</v>
      </c>
      <c r="G17" s="53">
        <v>24720</v>
      </c>
      <c r="I17" s="123">
        <v>14</v>
      </c>
      <c r="J17" t="str">
        <f>IFERROR(VLOOKUP(I17,'Balance a Feb'!$A$3:$C$300,2,FALSE),"")</f>
        <v/>
      </c>
      <c r="K17" t="str">
        <f>IFERROR(VLOOKUP(I17,'Balance a Feb'!$A$3:$C$300,3,FALSE),"")</f>
        <v/>
      </c>
      <c r="L17" t="str">
        <f>IFERROR(IF(AND(VALUE(LEFT(J17,1))&gt;=6,VALUE(LEFT(J17,1))&lt;=7),_xlfn.XMATCH(VALUE(J17),PROYECCIONES!$B$1:$B$38,-1,1),_xlfn.XMATCH(VALUE(J17),PROYECCIONES!$B$1:$B$333,-1,1)),"")</f>
        <v/>
      </c>
    </row>
    <row r="18" spans="1:12">
      <c r="A18">
        <f>IFERROR(IF(B18="",0,IF(VALUE(LEFT(B18,1))&gt;3,VLOOKUP(VALUE(B18),PROYECCIONES!B:D,3,FALSE),0)),1 + COUNTIF($A$2:A17,"&gt;0"))</f>
        <v>0</v>
      </c>
      <c r="B18" s="52" t="s">
        <v>405</v>
      </c>
      <c r="C18" s="52" t="s">
        <v>406</v>
      </c>
      <c r="D18" s="53">
        <v>0</v>
      </c>
      <c r="E18" s="53">
        <v>95700</v>
      </c>
      <c r="F18" s="53">
        <v>0</v>
      </c>
      <c r="G18" s="53">
        <v>95700</v>
      </c>
      <c r="I18" s="123">
        <v>15</v>
      </c>
      <c r="J18" t="str">
        <f>IFERROR(VLOOKUP(I18,'Balance a Feb'!$A$3:$C$300,2,FALSE),"")</f>
        <v/>
      </c>
      <c r="K18" t="str">
        <f>IFERROR(VLOOKUP(I18,'Balance a Feb'!$A$3:$C$300,3,FALSE),"")</f>
        <v/>
      </c>
      <c r="L18" t="str">
        <f>IFERROR(IF(AND(VALUE(LEFT(J18,1))&gt;=6,VALUE(LEFT(J18,1))&lt;=7),_xlfn.XMATCH(VALUE(J18),PROYECCIONES!$B$1:$B$38,-1,1),_xlfn.XMATCH(VALUE(J18),PROYECCIONES!$B$1:$B$333,-1,1)),"")</f>
        <v/>
      </c>
    </row>
    <row r="19" spans="1:12">
      <c r="A19">
        <f>IFERROR(IF(B19="",0,IF(VALUE(LEFT(B19,1))&gt;3,VLOOKUP(VALUE(B19),PROYECCIONES!B:D,3,FALSE),0)),1 + COUNTIF($A$2:A18,"&gt;0"))</f>
        <v>0</v>
      </c>
      <c r="B19" s="52" t="s">
        <v>427</v>
      </c>
      <c r="C19" s="52" t="s">
        <v>428</v>
      </c>
      <c r="D19" s="53">
        <v>251700</v>
      </c>
      <c r="E19" s="53">
        <v>19480</v>
      </c>
      <c r="F19" s="53">
        <v>0</v>
      </c>
      <c r="G19" s="53">
        <v>271180</v>
      </c>
    </row>
    <row r="20" spans="1:12">
      <c r="A20">
        <f>IFERROR(IF(B20="",0,IF(VALUE(LEFT(B20,1))&gt;3,VLOOKUP(VALUE(B20),PROYECCIONES!B:D,3,FALSE),0)),1 + COUNTIF($A$2:A19,"&gt;0"))</f>
        <v>0</v>
      </c>
      <c r="B20" s="52" t="s">
        <v>435</v>
      </c>
      <c r="C20" s="52" t="s">
        <v>436</v>
      </c>
      <c r="D20" s="53">
        <v>3625000</v>
      </c>
      <c r="E20" s="53">
        <v>0</v>
      </c>
      <c r="F20" s="53">
        <v>0</v>
      </c>
      <c r="G20" s="53">
        <v>3625000</v>
      </c>
    </row>
    <row r="21" spans="1:12">
      <c r="A21">
        <f>IFERROR(IF(B21="",0,IF(VALUE(LEFT(B21,1))&gt;3,VLOOKUP(VALUE(B21),PROYECCIONES!B:D,3,FALSE),0)),1 + COUNTIF($A$2:A20,"&gt;0"))</f>
        <v>0</v>
      </c>
      <c r="B21" s="52" t="s">
        <v>377</v>
      </c>
      <c r="C21" s="52" t="s">
        <v>373</v>
      </c>
      <c r="D21" s="53">
        <v>4742306</v>
      </c>
      <c r="E21" s="53">
        <v>922788</v>
      </c>
      <c r="F21" s="53">
        <v>0</v>
      </c>
      <c r="G21" s="53">
        <v>5665094</v>
      </c>
    </row>
    <row r="22" spans="1:12">
      <c r="A22">
        <f>IFERROR(IF(B22="",0,IF(VALUE(LEFT(B22,1))&gt;3,VLOOKUP(VALUE(B22),PROYECCIONES!B:D,3,FALSE),0)),1 + COUNTIF($A$2:A21,"&gt;0"))</f>
        <v>0</v>
      </c>
      <c r="B22" s="52" t="s">
        <v>360</v>
      </c>
      <c r="C22" s="52" t="s">
        <v>361</v>
      </c>
      <c r="D22" s="53">
        <v>2530000</v>
      </c>
      <c r="E22" s="53">
        <v>440000</v>
      </c>
      <c r="F22" s="53">
        <v>0</v>
      </c>
      <c r="G22" s="53">
        <v>2970000</v>
      </c>
    </row>
    <row r="23" spans="1:12">
      <c r="A23">
        <f>IFERROR(IF(B23="",0,IF(VALUE(LEFT(B23,1))&gt;3,VLOOKUP(VALUE(B23),PROYECCIONES!B:D,3,FALSE),0)),1 + COUNTIF($A$2:A22,"&gt;0"))</f>
        <v>0</v>
      </c>
      <c r="B23" s="52" t="s">
        <v>282</v>
      </c>
      <c r="C23" s="52" t="s">
        <v>234</v>
      </c>
      <c r="D23" s="53">
        <v>43467544</v>
      </c>
      <c r="E23" s="53">
        <v>0</v>
      </c>
      <c r="F23" s="53">
        <v>0</v>
      </c>
      <c r="G23" s="53">
        <v>43467544</v>
      </c>
    </row>
    <row r="24" spans="1:12">
      <c r="A24">
        <f>IFERROR(IF(B24="",0,IF(VALUE(LEFT(B24,1))&gt;3,VLOOKUP(VALUE(B24),PROYECCIONES!B:D,3,FALSE),0)),1 + COUNTIF($A$2:A23,"&gt;0"))</f>
        <v>0</v>
      </c>
      <c r="B24" s="52" t="s">
        <v>471</v>
      </c>
      <c r="C24" s="52" t="s">
        <v>472</v>
      </c>
      <c r="D24" s="53">
        <v>0</v>
      </c>
      <c r="E24" s="53">
        <v>181000</v>
      </c>
      <c r="F24" s="53">
        <v>181000</v>
      </c>
      <c r="G24" s="53">
        <v>0</v>
      </c>
    </row>
    <row r="25" spans="1:12">
      <c r="A25">
        <f>IFERROR(IF(B25="",0,IF(VALUE(LEFT(B25,1))&gt;3,VLOOKUP(VALUE(B25),PROYECCIONES!B:D,3,FALSE),0)),1 + COUNTIF($A$2:A24,"&gt;0"))</f>
        <v>0</v>
      </c>
      <c r="B25" s="52" t="s">
        <v>283</v>
      </c>
      <c r="C25" s="52" t="s">
        <v>235</v>
      </c>
      <c r="D25" s="53">
        <v>31548323.850000001</v>
      </c>
      <c r="E25" s="53">
        <v>760300</v>
      </c>
      <c r="F25" s="53">
        <v>1560300</v>
      </c>
      <c r="G25" s="53">
        <v>30748323.850000001</v>
      </c>
    </row>
    <row r="26" spans="1:12">
      <c r="A26">
        <f>IFERROR(IF(B26="",0,IF(VALUE(LEFT(B26,1))&gt;3,VLOOKUP(VALUE(B26),PROYECCIONES!B:D,3,FALSE),0)),1 + COUNTIF($A$2:A25,"&gt;0"))</f>
        <v>0</v>
      </c>
      <c r="B26" s="52" t="s">
        <v>378</v>
      </c>
      <c r="C26" s="52" t="s">
        <v>379</v>
      </c>
      <c r="D26" s="53">
        <v>900000</v>
      </c>
      <c r="E26" s="53">
        <v>0</v>
      </c>
      <c r="F26" s="53">
        <v>300000</v>
      </c>
      <c r="G26" s="53">
        <v>600000</v>
      </c>
    </row>
    <row r="27" spans="1:12">
      <c r="A27">
        <f>IFERROR(IF(B27="",0,IF(VALUE(LEFT(B27,1))&gt;3,VLOOKUP(VALUE(B27),PROYECCIONES!B:D,3,FALSE),0)),1 + COUNTIF($A$2:A26,"&gt;0"))</f>
        <v>0</v>
      </c>
      <c r="B27" s="52" t="s">
        <v>284</v>
      </c>
      <c r="C27" s="52" t="s">
        <v>236</v>
      </c>
      <c r="D27" s="53">
        <v>50000</v>
      </c>
      <c r="E27" s="53">
        <v>231422.34</v>
      </c>
      <c r="F27" s="53">
        <v>96950</v>
      </c>
      <c r="G27" s="53">
        <v>184472.34</v>
      </c>
    </row>
    <row r="28" spans="1:12">
      <c r="A28">
        <f>IFERROR(IF(B28="",0,IF(VALUE(LEFT(B28,1))&gt;3,VLOOKUP(VALUE(B28),PROYECCIONES!B:D,3,FALSE),0)),1 + COUNTIF($A$2:A27,"&gt;0"))</f>
        <v>0</v>
      </c>
      <c r="B28" s="52" t="s">
        <v>285</v>
      </c>
      <c r="C28" s="52" t="s">
        <v>237</v>
      </c>
      <c r="D28" s="53">
        <v>18023845.800000001</v>
      </c>
      <c r="E28" s="53">
        <v>0</v>
      </c>
      <c r="F28" s="53">
        <v>0</v>
      </c>
      <c r="G28" s="53">
        <v>18023845.800000001</v>
      </c>
    </row>
    <row r="29" spans="1:12">
      <c r="A29">
        <f>IFERROR(IF(B29="",0,IF(VALUE(LEFT(B29,1))&gt;3,VLOOKUP(VALUE(B29),PROYECCIONES!B:D,3,FALSE),0)),1 + COUNTIF($A$2:A28,"&gt;0"))</f>
        <v>0</v>
      </c>
      <c r="B29" s="52" t="s">
        <v>286</v>
      </c>
      <c r="C29" s="52" t="s">
        <v>238</v>
      </c>
      <c r="D29" s="53">
        <v>61490000</v>
      </c>
      <c r="E29" s="53">
        <v>0</v>
      </c>
      <c r="F29" s="53">
        <v>0</v>
      </c>
      <c r="G29" s="53">
        <v>61490000</v>
      </c>
    </row>
    <row r="30" spans="1:12">
      <c r="A30">
        <f>IFERROR(IF(B30="",0,IF(VALUE(LEFT(B30,1))&gt;3,VLOOKUP(VALUE(B30),PROYECCIONES!B:D,3,FALSE),0)),1 + COUNTIF($A$2:A29,"&gt;0"))</f>
        <v>0</v>
      </c>
      <c r="B30" s="52" t="s">
        <v>287</v>
      </c>
      <c r="C30" s="52" t="s">
        <v>239</v>
      </c>
      <c r="D30" s="53">
        <v>-6028466.0099999998</v>
      </c>
      <c r="E30" s="53">
        <v>0</v>
      </c>
      <c r="F30" s="53">
        <v>423276.56</v>
      </c>
      <c r="G30" s="53">
        <v>-6451742.5700000003</v>
      </c>
    </row>
    <row r="31" spans="1:12">
      <c r="A31">
        <f>IFERROR(IF(B31="",0,IF(VALUE(LEFT(B31,1))&gt;3,VLOOKUP(VALUE(B31),PROYECCIONES!B:D,3,FALSE),0)),1 + COUNTIF($A$2:A30,"&gt;0"))</f>
        <v>0</v>
      </c>
      <c r="B31" s="52" t="s">
        <v>288</v>
      </c>
      <c r="C31" s="52" t="s">
        <v>240</v>
      </c>
      <c r="D31" s="53">
        <v>-1588491.73</v>
      </c>
      <c r="E31" s="53">
        <v>0</v>
      </c>
      <c r="F31" s="53">
        <v>1024833.34</v>
      </c>
      <c r="G31" s="53">
        <v>-2613325.0699999998</v>
      </c>
    </row>
    <row r="32" spans="1:12">
      <c r="A32">
        <f>IFERROR(IF(B32="",0,IF(VALUE(LEFT(B32,1))&gt;3,VLOOKUP(VALUE(B32),PROYECCIONES!B:D,3,FALSE),0)),1 + COUNTIF($A$2:A31,"&gt;0"))</f>
        <v>0</v>
      </c>
      <c r="B32" s="52" t="s">
        <v>289</v>
      </c>
      <c r="C32" s="52" t="s">
        <v>241</v>
      </c>
      <c r="D32" s="53">
        <v>880262</v>
      </c>
      <c r="E32" s="53">
        <v>0</v>
      </c>
      <c r="F32" s="53">
        <v>0</v>
      </c>
      <c r="G32" s="53">
        <v>880262</v>
      </c>
    </row>
    <row r="33" spans="1:7">
      <c r="A33">
        <f>IFERROR(IF(B33="",0,IF(VALUE(LEFT(B33,1))&gt;3,VLOOKUP(VALUE(B33),PROYECCIONES!B:D,3,FALSE),0)),1 + COUNTIF($A$2:A32,"&gt;0"))</f>
        <v>0</v>
      </c>
      <c r="B33" s="52" t="s">
        <v>290</v>
      </c>
      <c r="C33" s="52" t="s">
        <v>242</v>
      </c>
      <c r="D33" s="53">
        <v>-880262</v>
      </c>
      <c r="E33" s="53">
        <v>0</v>
      </c>
      <c r="F33" s="53">
        <v>0</v>
      </c>
      <c r="G33" s="53">
        <v>-880262</v>
      </c>
    </row>
    <row r="34" spans="1:7">
      <c r="A34">
        <f>IFERROR(IF(B34="",0,IF(VALUE(LEFT(B34,1))&gt;3,VLOOKUP(VALUE(B34),PROYECCIONES!B:D,3,FALSE),0)),1 + COUNTIF($A$2:A33,"&gt;0"))</f>
        <v>0</v>
      </c>
      <c r="B34" s="52" t="s">
        <v>473</v>
      </c>
      <c r="C34" s="52" t="s">
        <v>474</v>
      </c>
      <c r="D34" s="53">
        <v>1653107</v>
      </c>
      <c r="E34" s="53">
        <v>0</v>
      </c>
      <c r="F34" s="53">
        <v>1653107</v>
      </c>
      <c r="G34" s="53">
        <v>0</v>
      </c>
    </row>
    <row r="35" spans="1:7">
      <c r="A35">
        <f>IFERROR(IF(B35="",0,IF(VALUE(LEFT(B35,1))&gt;3,VLOOKUP(VALUE(B35),PROYECCIONES!B:D,3,FALSE),0)),1 + COUNTIF($A$2:A34,"&gt;0"))</f>
        <v>0</v>
      </c>
      <c r="B35" s="52" t="s">
        <v>520</v>
      </c>
      <c r="C35" s="52" t="s">
        <v>229</v>
      </c>
      <c r="D35" s="53">
        <v>0</v>
      </c>
      <c r="E35" s="53">
        <v>35500</v>
      </c>
      <c r="F35" s="53">
        <v>0</v>
      </c>
      <c r="G35" s="53">
        <v>35500</v>
      </c>
    </row>
    <row r="36" spans="1:7">
      <c r="A36">
        <f>IFERROR(IF(B36="",0,IF(VALUE(LEFT(B36,1))&gt;3,VLOOKUP(VALUE(B36),PROYECCIONES!B:D,3,FALSE),0)),1 + COUNTIF($A$2:A35,"&gt;0"))</f>
        <v>0</v>
      </c>
      <c r="B36" s="52" t="s">
        <v>380</v>
      </c>
      <c r="C36" s="52" t="s">
        <v>374</v>
      </c>
      <c r="D36" s="53">
        <v>-87720410.230000004</v>
      </c>
      <c r="E36" s="53">
        <v>1210486</v>
      </c>
      <c r="F36" s="53">
        <v>270777.77</v>
      </c>
      <c r="G36" s="53">
        <v>-86780702</v>
      </c>
    </row>
    <row r="37" spans="1:7">
      <c r="A37">
        <f>IFERROR(IF(B37="",0,IF(VALUE(LEFT(B37,1))&gt;3,VLOOKUP(VALUE(B37),PROYECCIONES!B:D,3,FALSE),0)),1 + COUNTIF($A$2:A36,"&gt;0"))</f>
        <v>0</v>
      </c>
      <c r="B37" s="52" t="s">
        <v>458</v>
      </c>
      <c r="C37" s="52" t="s">
        <v>459</v>
      </c>
      <c r="D37" s="53">
        <v>4.65661287307739E-10</v>
      </c>
      <c r="E37" s="53">
        <v>569905</v>
      </c>
      <c r="F37" s="53">
        <v>569905</v>
      </c>
      <c r="G37" s="53">
        <v>0</v>
      </c>
    </row>
    <row r="38" spans="1:7">
      <c r="A38">
        <f>IFERROR(IF(B38="",0,IF(VALUE(LEFT(B38,1))&gt;3,VLOOKUP(VALUE(B38),PROYECCIONES!B:D,3,FALSE),0)),1 + COUNTIF($A$2:A37,"&gt;0"))</f>
        <v>0</v>
      </c>
      <c r="B38" s="52" t="s">
        <v>291</v>
      </c>
      <c r="C38" s="52" t="s">
        <v>243</v>
      </c>
      <c r="D38" s="53">
        <v>-427500</v>
      </c>
      <c r="E38" s="53">
        <v>5934250</v>
      </c>
      <c r="F38" s="53">
        <v>5506750</v>
      </c>
      <c r="G38" s="53">
        <v>0</v>
      </c>
    </row>
    <row r="39" spans="1:7">
      <c r="A39">
        <f>IFERROR(IF(B39="",0,IF(VALUE(LEFT(B39,1))&gt;3,VLOOKUP(VALUE(B39),PROYECCIONES!B:D,3,FALSE),0)),1 + COUNTIF($A$2:A38,"&gt;0"))</f>
        <v>0</v>
      </c>
      <c r="B39" s="52" t="s">
        <v>292</v>
      </c>
      <c r="C39" s="52" t="s">
        <v>244</v>
      </c>
      <c r="D39" s="53">
        <v>0</v>
      </c>
      <c r="E39" s="53">
        <v>150000</v>
      </c>
      <c r="F39" s="53">
        <v>150000</v>
      </c>
      <c r="G39" s="53">
        <v>0</v>
      </c>
    </row>
    <row r="40" spans="1:7">
      <c r="A40">
        <f>IFERROR(IF(B40="",0,IF(VALUE(LEFT(B40,1))&gt;3,VLOOKUP(VALUE(B40),PROYECCIONES!B:D,3,FALSE),0)),1 + COUNTIF($A$2:A39,"&gt;0"))</f>
        <v>0</v>
      </c>
      <c r="B40" s="52" t="s">
        <v>293</v>
      </c>
      <c r="C40" s="52" t="s">
        <v>245</v>
      </c>
      <c r="D40" s="53">
        <v>0</v>
      </c>
      <c r="E40" s="53">
        <v>2858589</v>
      </c>
      <c r="F40" s="53">
        <v>2858589</v>
      </c>
      <c r="G40" s="53">
        <v>0</v>
      </c>
    </row>
    <row r="41" spans="1:7">
      <c r="A41">
        <f>IFERROR(IF(B41="",0,IF(VALUE(LEFT(B41,1))&gt;3,VLOOKUP(VALUE(B41),PROYECCIONES!B:D,3,FALSE),0)),1 + COUNTIF($A$2:A40,"&gt;0"))</f>
        <v>0</v>
      </c>
      <c r="B41" s="52" t="s">
        <v>294</v>
      </c>
      <c r="C41" s="52" t="s">
        <v>246</v>
      </c>
      <c r="D41" s="53">
        <v>-259026</v>
      </c>
      <c r="E41" s="53">
        <v>1198219.01</v>
      </c>
      <c r="F41" s="53">
        <v>1547945.01</v>
      </c>
      <c r="G41" s="53">
        <v>-608752</v>
      </c>
    </row>
    <row r="42" spans="1:7">
      <c r="A42">
        <f>IFERROR(IF(B42="",0,IF(VALUE(LEFT(B42,1))&gt;3,VLOOKUP(VALUE(B42),PROYECCIONES!B:D,3,FALSE),0)),1 + COUNTIF($A$2:A41,"&gt;0"))</f>
        <v>0</v>
      </c>
      <c r="B42" s="52" t="s">
        <v>460</v>
      </c>
      <c r="C42" s="52" t="s">
        <v>461</v>
      </c>
      <c r="D42" s="53">
        <v>0</v>
      </c>
      <c r="E42" s="53">
        <v>500000</v>
      </c>
      <c r="F42" s="53">
        <v>1640000</v>
      </c>
      <c r="G42" s="53">
        <v>-1140000</v>
      </c>
    </row>
    <row r="43" spans="1:7">
      <c r="A43">
        <f>IFERROR(IF(B43="",0,IF(VALUE(LEFT(B43,1))&gt;3,VLOOKUP(VALUE(B43),PROYECCIONES!B:D,3,FALSE),0)),1 + COUNTIF($A$2:A42,"&gt;0"))</f>
        <v>0</v>
      </c>
      <c r="B43" s="52" t="s">
        <v>407</v>
      </c>
      <c r="C43" s="52" t="s">
        <v>408</v>
      </c>
      <c r="D43" s="53">
        <v>0</v>
      </c>
      <c r="E43" s="53">
        <v>239180</v>
      </c>
      <c r="F43" s="53">
        <v>239180</v>
      </c>
      <c r="G43" s="53">
        <v>0</v>
      </c>
    </row>
    <row r="44" spans="1:7">
      <c r="A44">
        <f>IFERROR(IF(B44="",0,IF(VALUE(LEFT(B44,1))&gt;3,VLOOKUP(VALUE(B44),PROYECCIONES!B:D,3,FALSE),0)),1 + COUNTIF($A$2:A43,"&gt;0"))</f>
        <v>0</v>
      </c>
      <c r="B44" s="52" t="s">
        <v>410</v>
      </c>
      <c r="C44" s="52" t="s">
        <v>411</v>
      </c>
      <c r="D44" s="53">
        <v>0</v>
      </c>
      <c r="E44" s="53">
        <v>115242</v>
      </c>
      <c r="F44" s="53">
        <v>115242</v>
      </c>
      <c r="G44" s="53">
        <v>0</v>
      </c>
    </row>
    <row r="45" spans="1:7">
      <c r="A45">
        <f>IFERROR(IF(B45="",0,IF(VALUE(LEFT(B45,1))&gt;3,VLOOKUP(VALUE(B45),PROYECCIONES!B:D,3,FALSE),0)),1 + COUNTIF($A$2:A44,"&gt;0"))</f>
        <v>0</v>
      </c>
      <c r="B45" s="52" t="s">
        <v>295</v>
      </c>
      <c r="C45" s="52" t="s">
        <v>247</v>
      </c>
      <c r="D45" s="53">
        <v>0</v>
      </c>
      <c r="E45" s="53">
        <v>7126210.2199999997</v>
      </c>
      <c r="F45" s="53">
        <v>9965120.75</v>
      </c>
      <c r="G45" s="53">
        <v>-2838910.53</v>
      </c>
    </row>
    <row r="46" spans="1:7">
      <c r="A46">
        <f>IFERROR(IF(B46="",0,IF(VALUE(LEFT(B46,1))&gt;3,VLOOKUP(VALUE(B46),PROYECCIONES!B:D,3,FALSE),0)),1 + COUNTIF($A$2:A45,"&gt;0"))</f>
        <v>0</v>
      </c>
      <c r="B46" s="52" t="s">
        <v>86</v>
      </c>
      <c r="C46" s="52" t="s">
        <v>248</v>
      </c>
      <c r="D46" s="53">
        <v>-118268.9</v>
      </c>
      <c r="E46" s="53">
        <v>230256.9</v>
      </c>
      <c r="F46" s="53">
        <v>267082.03999999998</v>
      </c>
      <c r="G46" s="53">
        <v>-155094.04</v>
      </c>
    </row>
    <row r="47" spans="1:7">
      <c r="A47">
        <f>IFERROR(IF(B47="",0,IF(VALUE(LEFT(B47,1))&gt;3,VLOOKUP(VALUE(B47),PROYECCIONES!B:D,3,FALSE),0)),1 + COUNTIF($A$2:A46,"&gt;0"))</f>
        <v>0</v>
      </c>
      <c r="B47" s="52" t="s">
        <v>362</v>
      </c>
      <c r="C47" s="52" t="s">
        <v>592</v>
      </c>
      <c r="D47" s="53">
        <v>-20300</v>
      </c>
      <c r="E47" s="53">
        <v>20300</v>
      </c>
      <c r="F47" s="53">
        <v>0</v>
      </c>
      <c r="G47" s="53">
        <v>0</v>
      </c>
    </row>
    <row r="48" spans="1:7">
      <c r="A48">
        <f>IFERROR(IF(B48="",0,IF(VALUE(LEFT(B48,1))&gt;3,VLOOKUP(VALUE(B48),PROYECCIONES!B:D,3,FALSE),0)),1 + COUNTIF($A$2:A47,"&gt;0"))</f>
        <v>0</v>
      </c>
      <c r="B48" s="52" t="s">
        <v>88</v>
      </c>
      <c r="C48" s="52" t="s">
        <v>585</v>
      </c>
      <c r="D48" s="53">
        <v>-74424.880000000107</v>
      </c>
      <c r="E48" s="53">
        <v>74424.59</v>
      </c>
      <c r="F48" s="53">
        <v>0</v>
      </c>
      <c r="G48" s="53">
        <v>-0.29000000003725301</v>
      </c>
    </row>
    <row r="49" spans="1:7">
      <c r="A49">
        <f>IFERROR(IF(B49="",0,IF(VALUE(LEFT(B49,1))&gt;3,VLOOKUP(VALUE(B49),PROYECCIONES!B:D,3,FALSE),0)),1 + COUNTIF($A$2:A48,"&gt;0"))</f>
        <v>0</v>
      </c>
      <c r="B49" s="52" t="s">
        <v>413</v>
      </c>
      <c r="C49" s="52" t="s">
        <v>586</v>
      </c>
      <c r="D49" s="53">
        <v>0</v>
      </c>
      <c r="E49" s="53">
        <v>124274.31</v>
      </c>
      <c r="F49" s="53">
        <v>187382.05</v>
      </c>
      <c r="G49" s="53">
        <v>-63107.74</v>
      </c>
    </row>
    <row r="50" spans="1:7">
      <c r="A50">
        <f>IFERROR(IF(B50="",0,IF(VALUE(LEFT(B50,1))&gt;3,VLOOKUP(VALUE(B50),PROYECCIONES!B:D,3,FALSE),0)),1 + COUNTIF($A$2:A49,"&gt;0"))</f>
        <v>0</v>
      </c>
      <c r="B50" s="52" t="s">
        <v>296</v>
      </c>
      <c r="C50" s="52" t="s">
        <v>249</v>
      </c>
      <c r="D50" s="53">
        <v>-83618</v>
      </c>
      <c r="E50" s="53">
        <v>83618</v>
      </c>
      <c r="F50" s="53">
        <v>83618</v>
      </c>
      <c r="G50" s="53">
        <v>-83618</v>
      </c>
    </row>
    <row r="51" spans="1:7">
      <c r="A51">
        <f>IFERROR(IF(B51="",0,IF(VALUE(LEFT(B51,1))&gt;3,VLOOKUP(VALUE(B51),PROYECCIONES!B:D,3,FALSE),0)),1 + COUNTIF($A$2:A50,"&gt;0"))</f>
        <v>0</v>
      </c>
      <c r="B51" s="52" t="s">
        <v>462</v>
      </c>
      <c r="C51" s="52" t="s">
        <v>463</v>
      </c>
      <c r="D51" s="53">
        <v>0</v>
      </c>
      <c r="E51" s="53">
        <v>0</v>
      </c>
      <c r="F51" s="53">
        <v>35844</v>
      </c>
      <c r="G51" s="53">
        <v>-35844</v>
      </c>
    </row>
    <row r="52" spans="1:7">
      <c r="A52">
        <f>IFERROR(IF(B52="",0,IF(VALUE(LEFT(B52,1))&gt;3,VLOOKUP(VALUE(B52),PROYECCIONES!B:D,3,FALSE),0)),1 + COUNTIF($A$2:A51,"&gt;0"))</f>
        <v>0</v>
      </c>
      <c r="B52" s="52" t="s">
        <v>297</v>
      </c>
      <c r="C52" s="52" t="s">
        <v>250</v>
      </c>
      <c r="D52" s="53">
        <v>-1027152</v>
      </c>
      <c r="E52" s="53">
        <v>733843</v>
      </c>
      <c r="F52" s="53">
        <v>922788</v>
      </c>
      <c r="G52" s="53">
        <v>-1216097</v>
      </c>
    </row>
    <row r="53" spans="1:7">
      <c r="A53">
        <f>IFERROR(IF(B53="",0,IF(VALUE(LEFT(B53,1))&gt;3,VLOOKUP(VALUE(B53),PROYECCIONES!B:D,3,FALSE),0)),1 + COUNTIF($A$2:A52,"&gt;0"))</f>
        <v>0</v>
      </c>
      <c r="B53" s="52" t="s">
        <v>363</v>
      </c>
      <c r="C53" s="52" t="s">
        <v>437</v>
      </c>
      <c r="D53" s="53">
        <v>-440000</v>
      </c>
      <c r="E53" s="53">
        <v>440000</v>
      </c>
      <c r="F53" s="53">
        <v>440000</v>
      </c>
      <c r="G53" s="53">
        <v>-440000</v>
      </c>
    </row>
    <row r="54" spans="1:7">
      <c r="A54">
        <f>IFERROR(IF(B54="",0,IF(VALUE(LEFT(B54,1))&gt;3,VLOOKUP(VALUE(B54),PROYECCIONES!B:D,3,FALSE),0)),1 + COUNTIF($A$2:A53,"&gt;0"))</f>
        <v>0</v>
      </c>
      <c r="B54" s="52" t="s">
        <v>438</v>
      </c>
      <c r="C54" s="52" t="s">
        <v>439</v>
      </c>
      <c r="D54" s="53">
        <v>0</v>
      </c>
      <c r="E54" s="53">
        <v>128250</v>
      </c>
      <c r="F54" s="53">
        <v>128250</v>
      </c>
      <c r="G54" s="53">
        <v>0</v>
      </c>
    </row>
    <row r="55" spans="1:7">
      <c r="A55">
        <f>IFERROR(IF(B55="",0,IF(VALUE(LEFT(B55,1))&gt;3,VLOOKUP(VALUE(B55),PROYECCIONES!B:D,3,FALSE),0)),1 + COUNTIF($A$2:A54,"&gt;0"))</f>
        <v>0</v>
      </c>
      <c r="B55" s="52" t="s">
        <v>381</v>
      </c>
      <c r="C55" s="52" t="s">
        <v>382</v>
      </c>
      <c r="D55" s="53">
        <v>0</v>
      </c>
      <c r="E55" s="53">
        <v>118062.48</v>
      </c>
      <c r="F55" s="53">
        <v>178014.83</v>
      </c>
      <c r="G55" s="53">
        <v>-59952.35</v>
      </c>
    </row>
    <row r="56" spans="1:7">
      <c r="A56">
        <f>IFERROR(IF(B56="",0,IF(VALUE(LEFT(B56,1))&gt;3,VLOOKUP(VALUE(B56),PROYECCIONES!B:D,3,FALSE),0)),1 + COUNTIF($A$2:A55,"&gt;0"))</f>
        <v>0</v>
      </c>
      <c r="B56" s="52" t="s">
        <v>298</v>
      </c>
      <c r="C56" s="52" t="s">
        <v>251</v>
      </c>
      <c r="D56" s="53">
        <v>-53457.23</v>
      </c>
      <c r="E56" s="53">
        <v>0</v>
      </c>
      <c r="F56" s="53">
        <v>43670.51</v>
      </c>
      <c r="G56" s="53">
        <v>-97127.739999999903</v>
      </c>
    </row>
    <row r="57" spans="1:7">
      <c r="A57">
        <f>IFERROR(IF(B57="",0,IF(VALUE(LEFT(B57,1))&gt;3,VLOOKUP(VALUE(B57),PROYECCIONES!B:D,3,FALSE),0)),1 + COUNTIF($A$2:A56,"&gt;0"))</f>
        <v>0</v>
      </c>
      <c r="B57" s="52" t="s">
        <v>383</v>
      </c>
      <c r="C57" s="52" t="s">
        <v>375</v>
      </c>
      <c r="D57" s="53">
        <v>0</v>
      </c>
      <c r="E57" s="53">
        <v>0</v>
      </c>
      <c r="F57" s="53">
        <v>10337.799999999999</v>
      </c>
      <c r="G57" s="53">
        <v>-10337.799999999999</v>
      </c>
    </row>
    <row r="58" spans="1:7">
      <c r="A58">
        <f>IFERROR(IF(B58="",0,IF(VALUE(LEFT(B58,1))&gt;3,VLOOKUP(VALUE(B58),PROYECCIONES!B:D,3,FALSE),0)),1 + COUNTIF($A$2:A57,"&gt;0"))</f>
        <v>0</v>
      </c>
      <c r="B58" s="52" t="s">
        <v>364</v>
      </c>
      <c r="C58" s="52" t="s">
        <v>365</v>
      </c>
      <c r="D58" s="53">
        <v>-3828</v>
      </c>
      <c r="E58" s="53">
        <v>0</v>
      </c>
      <c r="F58" s="53">
        <v>0</v>
      </c>
      <c r="G58" s="53">
        <v>-3828</v>
      </c>
    </row>
    <row r="59" spans="1:7">
      <c r="A59">
        <f>IFERROR(IF(B59="",0,IF(VALUE(LEFT(B59,1))&gt;3,VLOOKUP(VALUE(B59),PROYECCIONES!B:D,3,FALSE),0)),1 + COUNTIF($A$2:A58,"&gt;0"))</f>
        <v>0</v>
      </c>
      <c r="B59" s="52" t="s">
        <v>464</v>
      </c>
      <c r="C59" s="52" t="s">
        <v>465</v>
      </c>
      <c r="D59" s="53">
        <v>0</v>
      </c>
      <c r="E59" s="53">
        <v>0</v>
      </c>
      <c r="F59" s="53">
        <v>11040</v>
      </c>
      <c r="G59" s="53">
        <v>-11040</v>
      </c>
    </row>
    <row r="60" spans="1:7">
      <c r="A60">
        <f>IFERROR(IF(B60="",0,IF(VALUE(LEFT(B60,1))&gt;3,VLOOKUP(VALUE(B60),PROYECCIONES!B:D,3,FALSE),0)),1 + COUNTIF($A$2:A59,"&gt;0"))</f>
        <v>0</v>
      </c>
      <c r="B60" s="52" t="s">
        <v>299</v>
      </c>
      <c r="C60" s="52" t="s">
        <v>252</v>
      </c>
      <c r="D60" s="53">
        <v>-803998</v>
      </c>
      <c r="E60" s="53">
        <v>540000</v>
      </c>
      <c r="F60" s="53">
        <v>1034001</v>
      </c>
      <c r="G60" s="53">
        <v>-1297999</v>
      </c>
    </row>
    <row r="61" spans="1:7">
      <c r="A61">
        <f>IFERROR(IF(B61="",0,IF(VALUE(LEFT(B61,1))&gt;3,VLOOKUP(VALUE(B61),PROYECCIONES!B:D,3,FALSE),0)),1 + COUNTIF($A$2:A60,"&gt;0"))</f>
        <v>0</v>
      </c>
      <c r="B61" s="52" t="s">
        <v>300</v>
      </c>
      <c r="C61" s="52" t="s">
        <v>253</v>
      </c>
      <c r="D61" s="53">
        <v>-72817</v>
      </c>
      <c r="E61" s="53">
        <v>42700</v>
      </c>
      <c r="F61" s="53">
        <v>151380</v>
      </c>
      <c r="G61" s="53">
        <v>-181497</v>
      </c>
    </row>
    <row r="62" spans="1:7">
      <c r="A62">
        <f>IFERROR(IF(B62="",0,IF(VALUE(LEFT(B62,1))&gt;3,VLOOKUP(VALUE(B62),PROYECCIONES!B:D,3,FALSE),0)),1 + COUNTIF($A$2:A61,"&gt;0"))</f>
        <v>0</v>
      </c>
      <c r="B62" s="52" t="s">
        <v>301</v>
      </c>
      <c r="C62" s="52" t="s">
        <v>254</v>
      </c>
      <c r="D62" s="53">
        <v>-557999</v>
      </c>
      <c r="E62" s="53">
        <v>540000</v>
      </c>
      <c r="F62" s="53">
        <v>1160000</v>
      </c>
      <c r="G62" s="53">
        <v>-1177999</v>
      </c>
    </row>
    <row r="63" spans="1:7">
      <c r="A63">
        <f>IFERROR(IF(B63="",0,IF(VALUE(LEFT(B63,1))&gt;3,VLOOKUP(VALUE(B63),PROYECCIONES!B:D,3,FALSE),0)),1 + COUNTIF($A$2:A62,"&gt;0"))</f>
        <v>0</v>
      </c>
      <c r="B63" s="52" t="s">
        <v>302</v>
      </c>
      <c r="C63" s="52" t="s">
        <v>255</v>
      </c>
      <c r="D63" s="53">
        <v>-5483064</v>
      </c>
      <c r="E63" s="53">
        <v>2578000</v>
      </c>
      <c r="F63" s="53">
        <v>4864001</v>
      </c>
      <c r="G63" s="53">
        <v>-7769065</v>
      </c>
    </row>
    <row r="64" spans="1:7">
      <c r="A64">
        <f>IFERROR(IF(B64="",0,IF(VALUE(LEFT(B64,1))&gt;3,VLOOKUP(VALUE(B64),PROYECCIONES!B:D,3,FALSE),0)),1 + COUNTIF($A$2:A63,"&gt;0"))</f>
        <v>0</v>
      </c>
      <c r="B64" s="52" t="s">
        <v>440</v>
      </c>
      <c r="C64" s="52" t="s">
        <v>441</v>
      </c>
      <c r="D64" s="53">
        <v>-28977138</v>
      </c>
      <c r="E64" s="53">
        <v>26977138</v>
      </c>
      <c r="F64" s="53">
        <v>0</v>
      </c>
      <c r="G64" s="53">
        <v>-2000000</v>
      </c>
    </row>
    <row r="65" spans="1:7">
      <c r="A65">
        <f>IFERROR(IF(B65="",0,IF(VALUE(LEFT(B65,1))&gt;3,VLOOKUP(VALUE(B65),PROYECCIONES!B:D,3,FALSE),0)),1 + COUNTIF($A$2:A64,"&gt;0"))</f>
        <v>0</v>
      </c>
      <c r="B65" s="52" t="s">
        <v>303</v>
      </c>
      <c r="C65" s="52" t="s">
        <v>256</v>
      </c>
      <c r="D65" s="53">
        <v>-3.5762786865234401E-7</v>
      </c>
      <c r="E65" s="53">
        <v>0</v>
      </c>
      <c r="F65" s="53">
        <v>21916257.370000001</v>
      </c>
      <c r="G65" s="53">
        <v>-21916257.3700004</v>
      </c>
    </row>
    <row r="66" spans="1:7">
      <c r="A66">
        <f>IFERROR(IF(B66="",0,IF(VALUE(LEFT(B66,1))&gt;3,VLOOKUP(VALUE(B66),PROYECCIONES!B:D,3,FALSE),0)),1 + COUNTIF($A$2:A65,"&gt;0"))</f>
        <v>0</v>
      </c>
      <c r="B66" s="52" t="s">
        <v>304</v>
      </c>
      <c r="C66" s="52" t="s">
        <v>257</v>
      </c>
      <c r="D66" s="53">
        <v>5.5879354476928703E-9</v>
      </c>
      <c r="E66" s="53">
        <v>1098731.49</v>
      </c>
      <c r="F66" s="53">
        <v>0</v>
      </c>
      <c r="G66" s="53">
        <v>1098731.49</v>
      </c>
    </row>
    <row r="67" spans="1:7">
      <c r="A67">
        <f>IFERROR(IF(B67="",0,IF(VALUE(LEFT(B67,1))&gt;3,VLOOKUP(VALUE(B67),PROYECCIONES!B:D,3,FALSE),0)),1 + COUNTIF($A$2:A66,"&gt;0"))</f>
        <v>0</v>
      </c>
      <c r="B67" s="52" t="s">
        <v>305</v>
      </c>
      <c r="C67" s="52" t="s">
        <v>258</v>
      </c>
      <c r="D67" s="53">
        <v>7.4505805969238298E-9</v>
      </c>
      <c r="E67" s="53">
        <v>1868207.97</v>
      </c>
      <c r="F67" s="53">
        <v>0</v>
      </c>
      <c r="G67" s="53">
        <v>1868207.97000001</v>
      </c>
    </row>
    <row r="68" spans="1:7">
      <c r="A68">
        <f>IFERROR(IF(B68="",0,IF(VALUE(LEFT(B68,1))&gt;3,VLOOKUP(VALUE(B68),PROYECCIONES!B:D,3,FALSE),0)),1 + COUNTIF($A$2:A67,"&gt;0"))</f>
        <v>0</v>
      </c>
      <c r="B68" s="52" t="s">
        <v>384</v>
      </c>
      <c r="C68" s="52" t="s">
        <v>385</v>
      </c>
      <c r="D68" s="53">
        <v>0</v>
      </c>
      <c r="E68" s="53">
        <v>178014.83</v>
      </c>
      <c r="F68" s="53">
        <v>0</v>
      </c>
      <c r="G68" s="53">
        <v>178014.83</v>
      </c>
    </row>
    <row r="69" spans="1:7">
      <c r="A69">
        <f>IFERROR(IF(B69="",0,IF(VALUE(LEFT(B69,1))&gt;3,VLOOKUP(VALUE(B69),PROYECCIONES!B:D,3,FALSE),0)),1 + COUNTIF($A$2:A68,"&gt;0"))</f>
        <v>0</v>
      </c>
      <c r="B69" s="52" t="s">
        <v>475</v>
      </c>
      <c r="C69" s="52" t="s">
        <v>476</v>
      </c>
      <c r="D69" s="53">
        <v>-35410863.340000004</v>
      </c>
      <c r="E69" s="53">
        <v>35410863.340000004</v>
      </c>
      <c r="F69" s="53">
        <v>0</v>
      </c>
      <c r="G69" s="53">
        <v>0</v>
      </c>
    </row>
    <row r="70" spans="1:7">
      <c r="A70">
        <f>IFERROR(IF(B70="",0,IF(VALUE(LEFT(B70,1))&gt;3,VLOOKUP(VALUE(B70),PROYECCIONES!B:D,3,FALSE),0)),1 + COUNTIF($A$2:A69,"&gt;0"))</f>
        <v>0</v>
      </c>
      <c r="B70" s="52" t="s">
        <v>306</v>
      </c>
      <c r="C70" s="52" t="s">
        <v>89</v>
      </c>
      <c r="D70" s="53">
        <v>-1786000</v>
      </c>
      <c r="E70" s="53">
        <v>31793360</v>
      </c>
      <c r="F70" s="53">
        <v>31127404</v>
      </c>
      <c r="G70" s="53">
        <v>-1120044</v>
      </c>
    </row>
    <row r="71" spans="1:7">
      <c r="A71">
        <f>IFERROR(IF(B71="",0,IF(VALUE(LEFT(B71,1))&gt;3,VLOOKUP(VALUE(B71),PROYECCIONES!B:D,3,FALSE),0)),1 + COUNTIF($A$2:A70,"&gt;0"))</f>
        <v>0</v>
      </c>
      <c r="B71" s="52" t="s">
        <v>307</v>
      </c>
      <c r="C71" s="52" t="s">
        <v>259</v>
      </c>
      <c r="D71" s="53">
        <v>-14595603</v>
      </c>
      <c r="E71" s="53">
        <v>14595603</v>
      </c>
      <c r="F71" s="53">
        <v>0</v>
      </c>
      <c r="G71" s="53">
        <v>0</v>
      </c>
    </row>
    <row r="72" spans="1:7">
      <c r="A72">
        <f>IFERROR(IF(B72="",0,IF(VALUE(LEFT(B72,1))&gt;3,VLOOKUP(VALUE(B72),PROYECCIONES!B:D,3,FALSE),0)),1 + COUNTIF($A$2:A71,"&gt;0"))</f>
        <v>0</v>
      </c>
      <c r="B72" s="52" t="s">
        <v>308</v>
      </c>
      <c r="C72" s="52" t="s">
        <v>260</v>
      </c>
      <c r="D72" s="53">
        <v>-1568734</v>
      </c>
      <c r="E72" s="53">
        <v>1568734</v>
      </c>
      <c r="F72" s="53">
        <v>0</v>
      </c>
      <c r="G72" s="53">
        <v>0</v>
      </c>
    </row>
    <row r="73" spans="1:7">
      <c r="A73">
        <f>IFERROR(IF(B73="",0,IF(VALUE(LEFT(B73,1))&gt;3,VLOOKUP(VALUE(B73),PROYECCIONES!B:D,3,FALSE),0)),1 + COUNTIF($A$2:A72,"&gt;0"))</f>
        <v>0</v>
      </c>
      <c r="B73" s="52" t="s">
        <v>446</v>
      </c>
      <c r="C73" s="52" t="s">
        <v>447</v>
      </c>
      <c r="D73" s="53">
        <v>0</v>
      </c>
      <c r="E73" s="53">
        <v>0</v>
      </c>
      <c r="F73" s="53">
        <v>2494782</v>
      </c>
      <c r="G73" s="53">
        <v>-2494782</v>
      </c>
    </row>
    <row r="74" spans="1:7">
      <c r="A74">
        <f>IFERROR(IF(B74="",0,IF(VALUE(LEFT(B74,1))&gt;3,VLOOKUP(VALUE(B74),PROYECCIONES!B:D,3,FALSE),0)),1 + COUNTIF($A$2:A73,"&gt;0"))</f>
        <v>0</v>
      </c>
      <c r="B74" s="52" t="s">
        <v>448</v>
      </c>
      <c r="C74" s="52" t="s">
        <v>449</v>
      </c>
      <c r="D74" s="53">
        <v>0</v>
      </c>
      <c r="E74" s="53">
        <v>0</v>
      </c>
      <c r="F74" s="53">
        <v>299376</v>
      </c>
      <c r="G74" s="53">
        <v>-299376</v>
      </c>
    </row>
    <row r="75" spans="1:7">
      <c r="A75">
        <f>IFERROR(IF(B75="",0,IF(VALUE(LEFT(B75,1))&gt;3,VLOOKUP(VALUE(B75),PROYECCIONES!B:D,3,FALSE),0)),1 + COUNTIF($A$2:A74,"&gt;0"))</f>
        <v>0</v>
      </c>
      <c r="B75" s="52" t="s">
        <v>450</v>
      </c>
      <c r="C75" s="52" t="s">
        <v>451</v>
      </c>
      <c r="D75" s="53">
        <v>0</v>
      </c>
      <c r="E75" s="53">
        <v>0</v>
      </c>
      <c r="F75" s="53">
        <v>1208336</v>
      </c>
      <c r="G75" s="53">
        <v>-1208336</v>
      </c>
    </row>
    <row r="76" spans="1:7">
      <c r="A76">
        <f>IFERROR(IF(B76="",0,IF(VALUE(LEFT(B76,1))&gt;3,VLOOKUP(VALUE(B76),PROYECCIONES!B:D,3,FALSE),0)),1 + COUNTIF($A$2:A75,"&gt;0"))</f>
        <v>0</v>
      </c>
      <c r="B76" s="52" t="s">
        <v>452</v>
      </c>
      <c r="C76" s="52" t="s">
        <v>453</v>
      </c>
      <c r="D76" s="53">
        <v>0</v>
      </c>
      <c r="E76" s="53">
        <v>0</v>
      </c>
      <c r="F76" s="53">
        <v>2494782</v>
      </c>
      <c r="G76" s="53">
        <v>-2494782</v>
      </c>
    </row>
    <row r="77" spans="1:7">
      <c r="A77">
        <f>IFERROR(IF(B77="",0,IF(VALUE(LEFT(B77,1))&gt;3,VLOOKUP(VALUE(B77),PROYECCIONES!B:D,3,FALSE),0)),1 + COUNTIF($A$2:A76,"&gt;0"))</f>
        <v>0</v>
      </c>
      <c r="B77" s="52" t="s">
        <v>593</v>
      </c>
      <c r="C77" s="52" t="s">
        <v>594</v>
      </c>
      <c r="D77" s="53">
        <v>0</v>
      </c>
      <c r="E77" s="53">
        <v>0</v>
      </c>
      <c r="F77" s="53">
        <v>26977138</v>
      </c>
      <c r="G77" s="53">
        <v>-26977138</v>
      </c>
    </row>
    <row r="78" spans="1:7">
      <c r="A78">
        <f>IFERROR(IF(B78="",0,IF(VALUE(LEFT(B78,1))&gt;3,VLOOKUP(VALUE(B78),PROYECCIONES!B:D,3,FALSE),0)),1 + COUNTIF($A$2:A77,"&gt;0"))</f>
        <v>0</v>
      </c>
      <c r="B78" s="52" t="s">
        <v>477</v>
      </c>
      <c r="C78" s="52" t="s">
        <v>478</v>
      </c>
      <c r="D78" s="53">
        <v>-3778917.1</v>
      </c>
      <c r="E78" s="53">
        <v>0</v>
      </c>
      <c r="F78" s="53">
        <v>0</v>
      </c>
      <c r="G78" s="53">
        <v>-3778917.1</v>
      </c>
    </row>
    <row r="79" spans="1:7">
      <c r="A79">
        <f>IFERROR(IF(B79="",0,IF(VALUE(LEFT(B79,1))&gt;3,VLOOKUP(VALUE(B79),PROYECCIONES!B:D,3,FALSE),0)),1 + COUNTIF($A$2:A78,"&gt;0"))</f>
        <v>0</v>
      </c>
      <c r="B79" s="52" t="s">
        <v>479</v>
      </c>
      <c r="C79" s="52" t="s">
        <v>480</v>
      </c>
      <c r="D79" s="53">
        <v>-180390</v>
      </c>
      <c r="E79" s="53">
        <v>0</v>
      </c>
      <c r="F79" s="53">
        <v>0</v>
      </c>
      <c r="G79" s="53">
        <v>-180390</v>
      </c>
    </row>
    <row r="80" spans="1:7">
      <c r="A80">
        <f>IFERROR(IF(B80="",0,IF(VALUE(LEFT(B80,1))&gt;3,VLOOKUP(VALUE(B80),PROYECCIONES!B:D,3,FALSE),0)),1 + COUNTIF($A$2:A79,"&gt;0"))</f>
        <v>0</v>
      </c>
      <c r="B80" s="52" t="s">
        <v>309</v>
      </c>
      <c r="C80" s="52" t="s">
        <v>261</v>
      </c>
      <c r="D80" s="53">
        <v>-100000000</v>
      </c>
      <c r="E80" s="53">
        <v>0</v>
      </c>
      <c r="F80" s="53">
        <v>0</v>
      </c>
      <c r="G80" s="53">
        <v>-100000000</v>
      </c>
    </row>
    <row r="81" spans="1:7">
      <c r="A81">
        <f>IFERROR(IF(B81="",0,IF(VALUE(LEFT(B81,1))&gt;3,VLOOKUP(VALUE(B81),PROYECCIONES!B:D,3,FALSE),0)),1 + COUNTIF($A$2:A80,"&gt;0"))</f>
        <v>0</v>
      </c>
      <c r="B81" s="52" t="s">
        <v>310</v>
      </c>
      <c r="C81" s="52" t="s">
        <v>262</v>
      </c>
      <c r="D81" s="53">
        <v>69000000</v>
      </c>
      <c r="E81" s="53">
        <v>0</v>
      </c>
      <c r="F81" s="53">
        <v>0</v>
      </c>
      <c r="G81" s="53">
        <v>69000000</v>
      </c>
    </row>
    <row r="82" spans="1:7">
      <c r="A82">
        <f>IFERROR(IF(B82="",0,IF(VALUE(LEFT(B82,1))&gt;3,VLOOKUP(VALUE(B82),PROYECCIONES!B:D,3,FALSE),0)),1 + COUNTIF($A$2:A81,"&gt;0"))</f>
        <v>0</v>
      </c>
      <c r="B82" s="52" t="s">
        <v>481</v>
      </c>
      <c r="C82" s="52" t="s">
        <v>482</v>
      </c>
      <c r="D82" s="53">
        <v>-41626840.030000001</v>
      </c>
      <c r="E82" s="53">
        <v>41626840.030000001</v>
      </c>
      <c r="F82" s="53">
        <v>0</v>
      </c>
      <c r="G82" s="53">
        <v>0</v>
      </c>
    </row>
    <row r="83" spans="1:7">
      <c r="A83">
        <f>IFERROR(IF(B83="",0,IF(VALUE(LEFT(B83,1))&gt;3,VLOOKUP(VALUE(B83),PROYECCIONES!B:D,3,FALSE),0)),1 + COUNTIF($A$2:A82,"&gt;0"))</f>
        <v>0</v>
      </c>
      <c r="B83" s="52" t="s">
        <v>521</v>
      </c>
      <c r="C83" s="52" t="s">
        <v>522</v>
      </c>
      <c r="D83" s="53">
        <v>0</v>
      </c>
      <c r="E83" s="53">
        <v>0</v>
      </c>
      <c r="F83" s="53">
        <v>121913000</v>
      </c>
      <c r="G83" s="53">
        <v>-121913000</v>
      </c>
    </row>
    <row r="84" spans="1:7">
      <c r="A84">
        <f>IFERROR(IF(B84="",0,IF(VALUE(LEFT(B84,1))&gt;3,VLOOKUP(VALUE(B84),PROYECCIONES!B:D,3,FALSE),0)),1 + COUNTIF($A$2:A83,"&gt;0"))</f>
        <v>0</v>
      </c>
      <c r="B84" s="52" t="s">
        <v>523</v>
      </c>
      <c r="C84" s="52" t="s">
        <v>524</v>
      </c>
      <c r="D84" s="53">
        <v>0</v>
      </c>
      <c r="E84" s="53">
        <v>0</v>
      </c>
      <c r="F84" s="53">
        <v>9320635</v>
      </c>
      <c r="G84" s="53">
        <v>-9320635</v>
      </c>
    </row>
    <row r="85" spans="1:7">
      <c r="A85">
        <f>IFERROR(IF(B85="",0,IF(VALUE(LEFT(B85,1))&gt;3,VLOOKUP(VALUE(B85),PROYECCIONES!B:D,3,FALSE),0)),1 + COUNTIF($A$2:A84,"&gt;0"))</f>
        <v>0</v>
      </c>
      <c r="B85" s="52" t="s">
        <v>525</v>
      </c>
      <c r="C85" s="52" t="s">
        <v>526</v>
      </c>
      <c r="D85" s="53">
        <v>0</v>
      </c>
      <c r="E85" s="53">
        <v>0</v>
      </c>
      <c r="F85" s="53">
        <v>106347119</v>
      </c>
      <c r="G85" s="53">
        <v>-106347119</v>
      </c>
    </row>
    <row r="86" spans="1:7">
      <c r="A86">
        <f>IFERROR(IF(B86="",0,IF(VALUE(LEFT(B86,1))&gt;3,VLOOKUP(VALUE(B86),PROYECCIONES!B:D,3,FALSE),0)),1 + COUNTIF($A$2:A85,"&gt;0"))</f>
        <v>0</v>
      </c>
      <c r="B86" s="52" t="s">
        <v>527</v>
      </c>
      <c r="C86" s="52" t="s">
        <v>528</v>
      </c>
      <c r="D86" s="53">
        <v>0</v>
      </c>
      <c r="E86" s="53">
        <v>0</v>
      </c>
      <c r="F86" s="53">
        <v>41185457</v>
      </c>
      <c r="G86" s="53">
        <v>-41185457</v>
      </c>
    </row>
    <row r="87" spans="1:7">
      <c r="A87">
        <f>IFERROR(IF(B87="",0,IF(VALUE(LEFT(B87,1))&gt;3,VLOOKUP(VALUE(B87),PROYECCIONES!B:D,3,FALSE),0)),1 + COUNTIF($A$2:A86,"&gt;0"))</f>
        <v>0</v>
      </c>
      <c r="B87" s="52" t="s">
        <v>529</v>
      </c>
      <c r="C87" s="52" t="s">
        <v>530</v>
      </c>
      <c r="D87" s="53">
        <v>0</v>
      </c>
      <c r="E87" s="53">
        <v>0</v>
      </c>
      <c r="F87" s="53">
        <v>46049185</v>
      </c>
      <c r="G87" s="53">
        <v>-46049185</v>
      </c>
    </row>
    <row r="88" spans="1:7">
      <c r="A88">
        <f>IFERROR(IF(B88="",0,IF(VALUE(LEFT(B88,1))&gt;3,VLOOKUP(VALUE(B88),PROYECCIONES!B:D,3,FALSE),0)),1 + COUNTIF($A$2:A87,"&gt;0"))</f>
        <v>0</v>
      </c>
      <c r="B88" s="52" t="s">
        <v>531</v>
      </c>
      <c r="C88" s="52" t="s">
        <v>532</v>
      </c>
      <c r="D88" s="53">
        <v>0</v>
      </c>
      <c r="E88" s="53">
        <v>0</v>
      </c>
      <c r="F88" s="53">
        <v>41626840.030000001</v>
      </c>
      <c r="G88" s="53">
        <v>-41626840.030000001</v>
      </c>
    </row>
    <row r="89" spans="1:7">
      <c r="A89">
        <f>IFERROR(IF(B89="",0,IF(VALUE(LEFT(B89,1))&gt;3,VLOOKUP(VALUE(B89),PROYECCIONES!B:D,3,FALSE),0)),1 + COUNTIF($A$2:A88,"&gt;0"))</f>
        <v>0</v>
      </c>
      <c r="B89" s="52" t="s">
        <v>311</v>
      </c>
      <c r="C89" s="52" t="s">
        <v>263</v>
      </c>
      <c r="D89" s="53">
        <v>-324855397.33999997</v>
      </c>
      <c r="E89" s="53">
        <v>324855397.33999997</v>
      </c>
      <c r="F89" s="53">
        <v>0</v>
      </c>
      <c r="G89" s="53">
        <v>-5.9604644775390599E-8</v>
      </c>
    </row>
    <row r="90" spans="1:7">
      <c r="A90">
        <f>IFERROR(IF(B90="",0,IF(VALUE(LEFT(B90,1))&gt;3,VLOOKUP(VALUE(B90),PROYECCIONES!B:D,3,FALSE),0)),1 + COUNTIF($A$2:A89,"&gt;0"))</f>
        <v>0</v>
      </c>
      <c r="B90" s="52" t="s">
        <v>312</v>
      </c>
      <c r="C90" s="52" t="s">
        <v>119</v>
      </c>
      <c r="D90" s="53">
        <v>0</v>
      </c>
      <c r="E90" s="53">
        <v>0</v>
      </c>
      <c r="F90" s="53">
        <v>87506029</v>
      </c>
      <c r="G90" s="53">
        <v>-87506029</v>
      </c>
    </row>
    <row r="91" spans="1:7">
      <c r="A91">
        <f>IFERROR(IF(B91="",0,IF(VALUE(LEFT(B91,1))&gt;3,VLOOKUP(VALUE(B91),PROYECCIONES!B:D,3,FALSE),0)),1 + COUNTIF($A$2:A90,"&gt;0"))</f>
        <v>0</v>
      </c>
      <c r="B91" s="52" t="s">
        <v>386</v>
      </c>
      <c r="C91" s="52" t="s">
        <v>120</v>
      </c>
      <c r="D91" s="53">
        <v>0</v>
      </c>
      <c r="E91" s="53">
        <v>0</v>
      </c>
      <c r="F91" s="53">
        <v>27842694</v>
      </c>
      <c r="G91" s="53">
        <v>-27842694</v>
      </c>
    </row>
    <row r="92" spans="1:7">
      <c r="A92">
        <f>IFERROR(IF(B92="",0,IF(VALUE(LEFT(B92,1))&gt;3,VLOOKUP(VALUE(B92),PROYECCIONES!B:D,3,FALSE),0)),1 + COUNTIF($A$2:A91,"&gt;0"))</f>
        <v>0</v>
      </c>
      <c r="B92" s="52" t="s">
        <v>313</v>
      </c>
      <c r="C92" s="52" t="s">
        <v>122</v>
      </c>
      <c r="D92" s="53">
        <v>2.91038304567337E-11</v>
      </c>
      <c r="E92" s="53">
        <v>0</v>
      </c>
      <c r="F92" s="53">
        <v>3005.67</v>
      </c>
      <c r="G92" s="53">
        <v>-3005.6699999999701</v>
      </c>
    </row>
    <row r="93" spans="1:7">
      <c r="A93">
        <f>IFERROR(IF(B93="",0,IF(VALUE(LEFT(B93,1))&gt;3,VLOOKUP(VALUE(B93),PROYECCIONES!B:D,3,FALSE),0)),1 + COUNTIF($A$2:A92,"&gt;0"))</f>
        <v>0</v>
      </c>
      <c r="B93" s="52" t="s">
        <v>314</v>
      </c>
      <c r="C93" s="52" t="s">
        <v>99</v>
      </c>
      <c r="D93" s="53">
        <v>0</v>
      </c>
      <c r="E93" s="53">
        <v>0</v>
      </c>
      <c r="F93" s="53">
        <v>6.0300000000004301</v>
      </c>
      <c r="G93" s="53">
        <v>-6.0299999999988403</v>
      </c>
    </row>
    <row r="94" spans="1:7">
      <c r="A94">
        <f>IFERROR(IF(B94="",0,IF(VALUE(LEFT(B94,1))&gt;3,VLOOKUP(VALUE(B94),PROYECCIONES!B:D,3,FALSE),0)),1 + COUNTIF($A$2:A93,"&gt;0"))</f>
        <v>0</v>
      </c>
      <c r="B94" s="52" t="s">
        <v>315</v>
      </c>
      <c r="C94" s="52" t="s">
        <v>100</v>
      </c>
      <c r="D94" s="53">
        <v>0</v>
      </c>
      <c r="E94" s="53">
        <v>10126667</v>
      </c>
      <c r="F94" s="53">
        <v>0</v>
      </c>
      <c r="G94" s="53">
        <v>10126667</v>
      </c>
    </row>
    <row r="95" spans="1:7">
      <c r="A95">
        <f>IFERROR(IF(B95="",0,IF(VALUE(LEFT(B95,1))&gt;3,VLOOKUP(VALUE(B95),PROYECCIONES!B:D,3,FALSE),0)),1 + COUNTIF($A$2:A94,"&gt;0"))</f>
        <v>0</v>
      </c>
      <c r="B95" s="52" t="s">
        <v>316</v>
      </c>
      <c r="C95" s="52" t="s">
        <v>101</v>
      </c>
      <c r="D95" s="53">
        <v>0</v>
      </c>
      <c r="E95" s="53">
        <v>234344</v>
      </c>
      <c r="F95" s="53">
        <v>0</v>
      </c>
      <c r="G95" s="53">
        <v>234344</v>
      </c>
    </row>
    <row r="96" spans="1:7">
      <c r="A96">
        <f>IFERROR(IF(B96="",0,IF(VALUE(LEFT(B96,1))&gt;3,VLOOKUP(VALUE(B96),PROYECCIONES!B:D,3,FALSE),0)),1 + COUNTIF($A$2:A95,"&gt;0"))</f>
        <v>0</v>
      </c>
      <c r="B96" s="52" t="s">
        <v>317</v>
      </c>
      <c r="C96" s="52" t="s">
        <v>96</v>
      </c>
      <c r="D96" s="53">
        <v>0</v>
      </c>
      <c r="E96" s="53">
        <v>952862</v>
      </c>
      <c r="F96" s="53">
        <v>0</v>
      </c>
      <c r="G96" s="53">
        <v>952862</v>
      </c>
    </row>
    <row r="97" spans="1:7">
      <c r="A97">
        <f>IFERROR(IF(B97="",0,IF(VALUE(LEFT(B97,1))&gt;3,VLOOKUP(VALUE(B97),PROYECCIONES!B:D,3,FALSE),0)),1 + COUNTIF($A$2:A96,"&gt;0"))</f>
        <v>0</v>
      </c>
      <c r="B97" s="52" t="s">
        <v>318</v>
      </c>
      <c r="C97" s="52" t="s">
        <v>102</v>
      </c>
      <c r="D97" s="53">
        <v>0</v>
      </c>
      <c r="E97" s="53">
        <v>114344</v>
      </c>
      <c r="F97" s="53">
        <v>0</v>
      </c>
      <c r="G97" s="53">
        <v>114344</v>
      </c>
    </row>
    <row r="98" spans="1:7">
      <c r="A98">
        <f>IFERROR(IF(B98="",0,IF(VALUE(LEFT(B98,1))&gt;3,VLOOKUP(VALUE(B98),PROYECCIONES!B:D,3,FALSE),0)),1 + COUNTIF($A$2:A97,"&gt;0"))</f>
        <v>0</v>
      </c>
      <c r="B98" s="52" t="s">
        <v>319</v>
      </c>
      <c r="C98" s="52" t="s">
        <v>97</v>
      </c>
      <c r="D98" s="53">
        <v>0</v>
      </c>
      <c r="E98" s="53">
        <v>952862</v>
      </c>
      <c r="F98" s="53">
        <v>0</v>
      </c>
      <c r="G98" s="53">
        <v>952862</v>
      </c>
    </row>
    <row r="99" spans="1:7">
      <c r="A99">
        <f>IFERROR(IF(B99="",0,IF(VALUE(LEFT(B99,1))&gt;3,VLOOKUP(VALUE(B99),PROYECCIONES!B:D,3,FALSE),0)),1 + COUNTIF($A$2:A98,"&gt;0"))</f>
        <v>0</v>
      </c>
      <c r="B99" s="52" t="s">
        <v>320</v>
      </c>
      <c r="C99" s="52" t="s">
        <v>98</v>
      </c>
      <c r="D99" s="53">
        <v>0</v>
      </c>
      <c r="E99" s="53">
        <v>466668</v>
      </c>
      <c r="F99" s="53">
        <v>0</v>
      </c>
      <c r="G99" s="53">
        <v>466668</v>
      </c>
    </row>
    <row r="100" spans="1:7">
      <c r="A100">
        <f>IFERROR(IF(B100="",0,IF(VALUE(LEFT(B100,1))&gt;3,VLOOKUP(VALUE(B100),PROYECCIONES!B:D,3,FALSE),0)),1 + COUNTIF($A$2:A99,"&gt;0"))</f>
        <v>0</v>
      </c>
      <c r="B100" s="52" t="s">
        <v>387</v>
      </c>
      <c r="C100" s="52" t="s">
        <v>90</v>
      </c>
      <c r="D100" s="53">
        <v>0</v>
      </c>
      <c r="E100" s="53">
        <v>103480</v>
      </c>
      <c r="F100" s="53">
        <v>0</v>
      </c>
      <c r="G100" s="53">
        <v>103480</v>
      </c>
    </row>
    <row r="101" spans="1:7">
      <c r="A101">
        <f>IFERROR(IF(B101="",0,IF(VALUE(LEFT(B101,1))&gt;3,VLOOKUP(VALUE(B101),PROYECCIONES!B:D,3,FALSE),0)),1 + COUNTIF($A$2:A100,"&gt;0"))</f>
        <v>0</v>
      </c>
      <c r="B101" s="52" t="s">
        <v>321</v>
      </c>
      <c r="C101" s="52" t="s">
        <v>103</v>
      </c>
      <c r="D101" s="53">
        <v>0</v>
      </c>
      <c r="E101" s="53">
        <v>4699000</v>
      </c>
      <c r="F101" s="53">
        <v>0</v>
      </c>
      <c r="G101" s="53">
        <v>4699000</v>
      </c>
    </row>
    <row r="102" spans="1:7">
      <c r="A102">
        <f>IFERROR(IF(B102="",0,IF(VALUE(LEFT(B102,1))&gt;3,VLOOKUP(VALUE(B102),PROYECCIONES!B:D,3,FALSE),0)),1 + COUNTIF($A$2:A101,"&gt;0"))</f>
        <v>0</v>
      </c>
      <c r="B102" s="52" t="s">
        <v>322</v>
      </c>
      <c r="C102" s="52" t="s">
        <v>125</v>
      </c>
      <c r="D102" s="53">
        <v>0</v>
      </c>
      <c r="E102" s="53">
        <v>6890.75</v>
      </c>
      <c r="F102" s="53">
        <v>0</v>
      </c>
      <c r="G102" s="53">
        <v>6890.75</v>
      </c>
    </row>
    <row r="103" spans="1:7">
      <c r="A103">
        <f>IFERROR(IF(B103="",0,IF(VALUE(LEFT(B103,1))&gt;3,VLOOKUP(VALUE(B103),PROYECCIONES!B:D,3,FALSE),0)),1 + COUNTIF($A$2:A102,"&gt;0"))</f>
        <v>0</v>
      </c>
      <c r="B103" s="52" t="s">
        <v>323</v>
      </c>
      <c r="C103" s="52" t="s">
        <v>126</v>
      </c>
      <c r="D103" s="53">
        <v>0</v>
      </c>
      <c r="E103" s="53">
        <v>500000</v>
      </c>
      <c r="F103" s="53">
        <v>0</v>
      </c>
      <c r="G103" s="53">
        <v>500000</v>
      </c>
    </row>
    <row r="104" spans="1:7">
      <c r="A104">
        <f>IFERROR(IF(B104="",0,IF(VALUE(LEFT(B104,1))&gt;3,VLOOKUP(VALUE(B104),PROYECCIONES!B:D,3,FALSE),0)),1 + COUNTIF($A$2:A103,"&gt;0"))</f>
        <v>0</v>
      </c>
      <c r="B104" s="52" t="s">
        <v>324</v>
      </c>
      <c r="C104" s="52" t="s">
        <v>127</v>
      </c>
      <c r="D104" s="53">
        <v>0</v>
      </c>
      <c r="E104" s="53">
        <v>58464</v>
      </c>
      <c r="F104" s="53">
        <v>0</v>
      </c>
      <c r="G104" s="53">
        <v>58464</v>
      </c>
    </row>
    <row r="105" spans="1:7">
      <c r="A105">
        <f>IFERROR(IF(B105="",0,IF(VALUE(LEFT(B105,1))&gt;3,VLOOKUP(VALUE(B105),PROYECCIONES!B:D,3,FALSE),0)),1 + COUNTIF($A$2:A104,"&gt;0"))</f>
        <v>0</v>
      </c>
      <c r="B105" s="52" t="s">
        <v>325</v>
      </c>
      <c r="C105" s="52" t="s">
        <v>128</v>
      </c>
      <c r="D105" s="53">
        <v>0</v>
      </c>
      <c r="E105" s="53">
        <v>1224000</v>
      </c>
      <c r="F105" s="53">
        <v>0</v>
      </c>
      <c r="G105" s="53">
        <v>1224000</v>
      </c>
    </row>
    <row r="106" spans="1:7">
      <c r="A106">
        <f>IFERROR(IF(B106="",0,IF(VALUE(LEFT(B106,1))&gt;3,VLOOKUP(VALUE(B106),PROYECCIONES!B:D,3,FALSE),0)),1 + COUNTIF($A$2:A105,"&gt;0"))</f>
        <v>0</v>
      </c>
      <c r="B106" s="52" t="s">
        <v>326</v>
      </c>
      <c r="C106" s="52" t="s">
        <v>129</v>
      </c>
      <c r="D106" s="53">
        <v>0</v>
      </c>
      <c r="E106" s="53">
        <v>448000</v>
      </c>
      <c r="F106" s="53">
        <v>0</v>
      </c>
      <c r="G106" s="53">
        <v>448000</v>
      </c>
    </row>
    <row r="107" spans="1:7">
      <c r="A107">
        <f>IFERROR(IF(B107="",0,IF(VALUE(LEFT(B107,1))&gt;3,VLOOKUP(VALUE(B107),PROYECCIONES!B:D,3,FALSE),0)),1 + COUNTIF($A$2:A106,"&gt;0"))</f>
        <v>0</v>
      </c>
      <c r="B107" s="52" t="s">
        <v>388</v>
      </c>
      <c r="C107" s="52" t="s">
        <v>130</v>
      </c>
      <c r="D107" s="53">
        <v>0</v>
      </c>
      <c r="E107" s="53">
        <v>424000</v>
      </c>
      <c r="F107" s="53">
        <v>0</v>
      </c>
      <c r="G107" s="53">
        <v>424000</v>
      </c>
    </row>
    <row r="108" spans="1:7">
      <c r="A108">
        <f>IFERROR(IF(B108="",0,IF(VALUE(LEFT(B108,1))&gt;3,VLOOKUP(VALUE(B108),PROYECCIONES!B:D,3,FALSE),0)),1 + COUNTIF($A$2:A107,"&gt;0"))</f>
        <v>0</v>
      </c>
      <c r="B108" s="52" t="s">
        <v>389</v>
      </c>
      <c r="C108" s="52" t="s">
        <v>131</v>
      </c>
      <c r="D108" s="53">
        <v>0</v>
      </c>
      <c r="E108" s="53">
        <v>4580000</v>
      </c>
      <c r="F108" s="53">
        <v>0</v>
      </c>
      <c r="G108" s="53">
        <v>4580000</v>
      </c>
    </row>
    <row r="109" spans="1:7">
      <c r="A109">
        <f>IFERROR(IF(B109="",0,IF(VALUE(LEFT(B109,1))&gt;3,VLOOKUP(VALUE(B109),PROYECCIONES!B:D,3,FALSE),0)),1 + COUNTIF($A$2:A108,"&gt;0"))</f>
        <v>0</v>
      </c>
      <c r="B109" s="52" t="s">
        <v>327</v>
      </c>
      <c r="C109" s="52" t="s">
        <v>133</v>
      </c>
      <c r="D109" s="53">
        <v>0</v>
      </c>
      <c r="E109" s="53">
        <v>200000</v>
      </c>
      <c r="F109" s="53">
        <v>0</v>
      </c>
      <c r="G109" s="53">
        <v>200000</v>
      </c>
    </row>
    <row r="110" spans="1:7">
      <c r="A110">
        <f>IFERROR(IF(B110="",0,IF(VALUE(LEFT(B110,1))&gt;3,VLOOKUP(VALUE(B110),PROYECCIONES!B:D,3,FALSE),0)),1 + COUNTIF($A$2:A109,"&gt;0"))</f>
        <v>0</v>
      </c>
      <c r="B110" s="52" t="s">
        <v>328</v>
      </c>
      <c r="C110" s="52" t="s">
        <v>110</v>
      </c>
      <c r="D110" s="53">
        <v>0</v>
      </c>
      <c r="E110" s="53">
        <v>621941.52</v>
      </c>
      <c r="F110" s="53">
        <v>0</v>
      </c>
      <c r="G110" s="53">
        <v>621941.52</v>
      </c>
    </row>
    <row r="111" spans="1:7">
      <c r="A111">
        <f>IFERROR(IF(B111="",0,IF(VALUE(LEFT(B111,1))&gt;3,VLOOKUP(VALUE(B111),PROYECCIONES!B:D,3,FALSE),0)),1 + COUNTIF($A$2:A110,"&gt;0"))</f>
        <v>0</v>
      </c>
      <c r="B111" s="52" t="s">
        <v>412</v>
      </c>
      <c r="C111" s="52" t="s">
        <v>198</v>
      </c>
      <c r="D111" s="53">
        <v>0</v>
      </c>
      <c r="E111" s="53">
        <v>6736.09</v>
      </c>
      <c r="F111" s="53">
        <v>0</v>
      </c>
      <c r="G111" s="53">
        <v>6736.09</v>
      </c>
    </row>
    <row r="112" spans="1:7">
      <c r="A112">
        <f>IFERROR(IF(B112="",0,IF(VALUE(LEFT(B112,1))&gt;3,VLOOKUP(VALUE(B112),PROYECCIONES!B:D,3,FALSE),0)),1 + COUNTIF($A$2:A111,"&gt;0"))</f>
        <v>0</v>
      </c>
      <c r="B112" s="52" t="s">
        <v>329</v>
      </c>
      <c r="C112" s="52" t="s">
        <v>135</v>
      </c>
      <c r="D112" s="53">
        <v>-4.65661287307739E-10</v>
      </c>
      <c r="E112" s="53">
        <v>107003.48</v>
      </c>
      <c r="F112" s="53">
        <v>0</v>
      </c>
      <c r="G112" s="53">
        <v>107003.48</v>
      </c>
    </row>
    <row r="113" spans="1:7">
      <c r="A113">
        <f>IFERROR(IF(B113="",0,IF(VALUE(LEFT(B113,1))&gt;3,VLOOKUP(VALUE(B113),PROYECCIONES!B:D,3,FALSE),0)),1 + COUNTIF($A$2:A112,"&gt;0"))</f>
        <v>0</v>
      </c>
      <c r="B113" s="52" t="s">
        <v>330</v>
      </c>
      <c r="C113" s="52" t="s">
        <v>136</v>
      </c>
      <c r="D113" s="53">
        <v>0</v>
      </c>
      <c r="E113" s="53">
        <v>2492519</v>
      </c>
      <c r="F113" s="53">
        <v>0</v>
      </c>
      <c r="G113" s="53">
        <v>2492519</v>
      </c>
    </row>
    <row r="114" spans="1:7">
      <c r="A114">
        <f>IFERROR(IF(B114="",0,IF(VALUE(LEFT(B114,1))&gt;3,VLOOKUP(VALUE(B114),PROYECCIONES!B:D,3,FALSE),0)),1 + COUNTIF($A$2:A113,"&gt;0"))</f>
        <v>0</v>
      </c>
      <c r="B114" s="52" t="s">
        <v>332</v>
      </c>
      <c r="C114" s="52" t="s">
        <v>139</v>
      </c>
      <c r="D114" s="53">
        <v>0</v>
      </c>
      <c r="E114" s="53">
        <v>288956.28999999998</v>
      </c>
      <c r="F114" s="53">
        <v>0</v>
      </c>
      <c r="G114" s="53">
        <v>288956.28999999998</v>
      </c>
    </row>
    <row r="115" spans="1:7">
      <c r="A115">
        <f>IFERROR(IF(B115="",0,IF(VALUE(LEFT(B115,1))&gt;3,VLOOKUP(VALUE(B115),PROYECCIONES!B:D,3,FALSE),0)),1 + COUNTIF($A$2:A114,"&gt;0"))</f>
        <v>0</v>
      </c>
      <c r="B115" s="52" t="s">
        <v>333</v>
      </c>
      <c r="C115" s="52" t="s">
        <v>140</v>
      </c>
      <c r="D115" s="53">
        <v>-2.3283064365386999E-10</v>
      </c>
      <c r="E115" s="53">
        <v>5522.77</v>
      </c>
      <c r="F115" s="53">
        <v>0</v>
      </c>
      <c r="G115" s="53">
        <v>5522.7699999997903</v>
      </c>
    </row>
    <row r="116" spans="1:7">
      <c r="A116">
        <f>IFERROR(IF(B116="",0,IF(VALUE(LEFT(B116,1))&gt;3,VLOOKUP(VALUE(B116),PROYECCIONES!B:D,3,FALSE),0)),1 + COUNTIF($A$2:A115,"&gt;0"))</f>
        <v>0</v>
      </c>
      <c r="B116" s="52" t="s">
        <v>334</v>
      </c>
      <c r="C116" s="52" t="s">
        <v>141</v>
      </c>
      <c r="D116" s="53">
        <v>0</v>
      </c>
      <c r="E116" s="53">
        <v>2650000</v>
      </c>
      <c r="F116" s="53">
        <v>0</v>
      </c>
      <c r="G116" s="53">
        <v>2650000</v>
      </c>
    </row>
    <row r="117" spans="1:7">
      <c r="A117">
        <f>IFERROR(IF(B117="",0,IF(VALUE(LEFT(B117,1))&gt;3,VLOOKUP(VALUE(B117),PROYECCIONES!B:D,3,FALSE),0)),1 + COUNTIF($A$2:A116,"&gt;0"))</f>
        <v>0</v>
      </c>
      <c r="B117" s="52" t="s">
        <v>335</v>
      </c>
      <c r="C117" s="52" t="s">
        <v>143</v>
      </c>
      <c r="D117" s="53">
        <v>0</v>
      </c>
      <c r="E117" s="53">
        <v>69056.91</v>
      </c>
      <c r="F117" s="53">
        <v>0</v>
      </c>
      <c r="G117" s="53">
        <v>69056.910000000105</v>
      </c>
    </row>
    <row r="118" spans="1:7">
      <c r="A118">
        <f>IFERROR(IF(B118="",0,IF(VALUE(LEFT(B118,1))&gt;3,VLOOKUP(VALUE(B118),PROYECCIONES!B:D,3,FALSE),0)),1 + COUNTIF($A$2:A117,"&gt;0"))</f>
        <v>0</v>
      </c>
      <c r="B118" s="52" t="s">
        <v>336</v>
      </c>
      <c r="C118" s="52" t="s">
        <v>144</v>
      </c>
      <c r="D118" s="53">
        <v>0</v>
      </c>
      <c r="E118" s="53">
        <v>389450.39</v>
      </c>
      <c r="F118" s="53">
        <v>0</v>
      </c>
      <c r="G118" s="53">
        <v>389450.39</v>
      </c>
    </row>
    <row r="119" spans="1:7">
      <c r="A119">
        <f>IFERROR(IF(B119="",0,IF(VALUE(LEFT(B119,1))&gt;3,VLOOKUP(VALUE(B119),PROYECCIONES!B:D,3,FALSE),0)),1 + COUNTIF($A$2:A118,"&gt;0"))</f>
        <v>0</v>
      </c>
      <c r="B119" s="52" t="s">
        <v>367</v>
      </c>
      <c r="C119" s="52" t="s">
        <v>145</v>
      </c>
      <c r="D119" s="53">
        <v>0</v>
      </c>
      <c r="E119" s="53">
        <v>121595</v>
      </c>
      <c r="F119" s="53">
        <v>0</v>
      </c>
      <c r="G119" s="53">
        <v>121595</v>
      </c>
    </row>
    <row r="120" spans="1:7">
      <c r="A120">
        <f>IFERROR(IF(B120="",0,IF(VALUE(LEFT(B120,1))&gt;3,VLOOKUP(VALUE(B120),PROYECCIONES!B:D,3,FALSE),0)),1 + COUNTIF($A$2:A119,"&gt;0"))</f>
        <v>0</v>
      </c>
      <c r="B120" s="52" t="s">
        <v>337</v>
      </c>
      <c r="C120" s="52" t="s">
        <v>146</v>
      </c>
      <c r="D120" s="53">
        <v>0</v>
      </c>
      <c r="E120" s="53">
        <v>552275.04</v>
      </c>
      <c r="F120" s="53">
        <v>0</v>
      </c>
      <c r="G120" s="53">
        <v>552275.04</v>
      </c>
    </row>
    <row r="121" spans="1:7">
      <c r="A121">
        <f>IFERROR(IF(B121="",0,IF(VALUE(LEFT(B121,1))&gt;3,VLOOKUP(VALUE(B121),PROYECCIONES!B:D,3,FALSE),0)),1 + COUNTIF($A$2:A120,"&gt;0"))</f>
        <v>0</v>
      </c>
      <c r="B121" s="52" t="s">
        <v>339</v>
      </c>
      <c r="C121" s="52" t="s">
        <v>148</v>
      </c>
      <c r="D121" s="53">
        <v>0</v>
      </c>
      <c r="E121" s="53">
        <v>160397</v>
      </c>
      <c r="F121" s="53">
        <v>0</v>
      </c>
      <c r="G121" s="53">
        <v>160397</v>
      </c>
    </row>
    <row r="122" spans="1:7">
      <c r="A122">
        <f>IFERROR(IF(B122="",0,IF(VALUE(LEFT(B122,1))&gt;3,VLOOKUP(VALUE(B122),PROYECCIONES!B:D,3,FALSE),0)),1 + COUNTIF($A$2:A121,"&gt;0"))</f>
        <v>0</v>
      </c>
      <c r="B122" s="52" t="s">
        <v>340</v>
      </c>
      <c r="C122" s="52" t="s">
        <v>149</v>
      </c>
      <c r="D122" s="53">
        <v>0</v>
      </c>
      <c r="E122" s="53">
        <v>500000</v>
      </c>
      <c r="F122" s="53">
        <v>0</v>
      </c>
      <c r="G122" s="53">
        <v>500000</v>
      </c>
    </row>
    <row r="123" spans="1:7">
      <c r="A123">
        <f>IFERROR(IF(B123="",0,IF(VALUE(LEFT(B123,1))&gt;3,VLOOKUP(VALUE(B123),PROYECCIONES!B:D,3,FALSE),0)),1 + COUNTIF($A$2:A122,"&gt;0"))</f>
        <v>0</v>
      </c>
      <c r="B123" s="52" t="s">
        <v>390</v>
      </c>
      <c r="C123" s="52" t="s">
        <v>201</v>
      </c>
      <c r="D123" s="53">
        <v>0</v>
      </c>
      <c r="E123" s="53">
        <v>936910.26</v>
      </c>
      <c r="F123" s="53">
        <v>0</v>
      </c>
      <c r="G123" s="53">
        <v>936910.26</v>
      </c>
    </row>
    <row r="124" spans="1:7">
      <c r="A124">
        <f>IFERROR(IF(B124="",0,IF(VALUE(LEFT(B124,1))&gt;3,VLOOKUP(VALUE(B124),PROYECCIONES!B:D,3,FALSE),0)),1 + COUNTIF($A$2:A123,"&gt;0"))</f>
        <v>0</v>
      </c>
      <c r="B124" s="52" t="s">
        <v>414</v>
      </c>
      <c r="C124" s="52" t="s">
        <v>202</v>
      </c>
      <c r="D124" s="53">
        <v>0</v>
      </c>
      <c r="E124" s="53">
        <v>378151</v>
      </c>
      <c r="F124" s="53">
        <v>0</v>
      </c>
      <c r="G124" s="53">
        <v>378151</v>
      </c>
    </row>
    <row r="125" spans="1:7">
      <c r="A125">
        <f>IFERROR(IF(B125="",0,IF(VALUE(LEFT(B125,1))&gt;3,VLOOKUP(VALUE(B125),PROYECCIONES!B:D,3,FALSE),0)),1 + COUNTIF($A$2:A124,"&gt;0"))</f>
        <v>0</v>
      </c>
      <c r="B125" s="52" t="s">
        <v>341</v>
      </c>
      <c r="C125" s="52" t="s">
        <v>154</v>
      </c>
      <c r="D125" s="53">
        <v>0</v>
      </c>
      <c r="E125" s="53">
        <v>240000</v>
      </c>
      <c r="F125" s="53">
        <v>0</v>
      </c>
      <c r="G125" s="53">
        <v>240000</v>
      </c>
    </row>
    <row r="126" spans="1:7">
      <c r="A126">
        <f>IFERROR(IF(B126="",0,IF(VALUE(LEFT(B126,1))&gt;3,VLOOKUP(VALUE(B126),PROYECCIONES!B:D,3,FALSE),0)),1 + COUNTIF($A$2:A125,"&gt;0"))</f>
        <v>0</v>
      </c>
      <c r="B126" s="52" t="s">
        <v>392</v>
      </c>
      <c r="C126" s="52" t="s">
        <v>155</v>
      </c>
      <c r="D126" s="53">
        <v>0</v>
      </c>
      <c r="E126" s="53">
        <v>201681.31</v>
      </c>
      <c r="F126" s="53">
        <v>0</v>
      </c>
      <c r="G126" s="53">
        <v>201681.31</v>
      </c>
    </row>
    <row r="127" spans="1:7">
      <c r="A127">
        <f>IFERROR(IF(B127="",0,IF(VALUE(LEFT(B127,1))&gt;3,VLOOKUP(VALUE(B127),PROYECCIONES!B:D,3,FALSE),0)),1 + COUNTIF($A$2:A126,"&gt;0"))</f>
        <v>0</v>
      </c>
      <c r="B127" s="52" t="s">
        <v>342</v>
      </c>
      <c r="C127" s="52" t="s">
        <v>156</v>
      </c>
      <c r="D127" s="53">
        <v>0</v>
      </c>
      <c r="E127" s="53">
        <v>5311582.1900000004</v>
      </c>
      <c r="F127" s="53">
        <v>0</v>
      </c>
      <c r="G127" s="53">
        <v>5311582.1900000004</v>
      </c>
    </row>
    <row r="128" spans="1:7">
      <c r="A128">
        <f>IFERROR(IF(B128="",0,IF(VALUE(LEFT(B128,1))&gt;3,VLOOKUP(VALUE(B128),PROYECCIONES!B:D,3,FALSE),0)),1 + COUNTIF($A$2:A127,"&gt;0"))</f>
        <v>0</v>
      </c>
      <c r="B128" s="52" t="s">
        <v>343</v>
      </c>
      <c r="C128" s="52" t="s">
        <v>157</v>
      </c>
      <c r="D128" s="53">
        <v>0</v>
      </c>
      <c r="E128" s="53">
        <v>450000</v>
      </c>
      <c r="F128" s="53">
        <v>0</v>
      </c>
      <c r="G128" s="53">
        <v>450000</v>
      </c>
    </row>
    <row r="129" spans="1:7">
      <c r="A129">
        <f>IFERROR(IF(B129="",0,IF(VALUE(LEFT(B129,1))&gt;3,VLOOKUP(VALUE(B129),PROYECCIONES!B:D,3,FALSE),0)),1 + COUNTIF($A$2:A128,"&gt;0"))</f>
        <v>0</v>
      </c>
      <c r="B129" s="52" t="s">
        <v>344</v>
      </c>
      <c r="C129" s="52" t="s">
        <v>160</v>
      </c>
      <c r="D129" s="53">
        <v>-1.8626451492309599E-9</v>
      </c>
      <c r="E129" s="53">
        <v>423276.56</v>
      </c>
      <c r="F129" s="53">
        <v>0</v>
      </c>
      <c r="G129" s="53">
        <v>423276.55999999802</v>
      </c>
    </row>
    <row r="130" spans="1:7">
      <c r="A130">
        <f>IFERROR(IF(B130="",0,IF(VALUE(LEFT(B130,1))&gt;3,VLOOKUP(VALUE(B130),PROYECCIONES!B:D,3,FALSE),0)),1 + COUNTIF($A$2:A129,"&gt;0"))</f>
        <v>0</v>
      </c>
      <c r="B130" s="52" t="s">
        <v>345</v>
      </c>
      <c r="C130" s="52" t="s">
        <v>162</v>
      </c>
      <c r="D130" s="53">
        <v>1.8626451492309599E-9</v>
      </c>
      <c r="E130" s="53">
        <v>1024833.34</v>
      </c>
      <c r="F130" s="53">
        <v>0</v>
      </c>
      <c r="G130" s="53">
        <v>1024833.34</v>
      </c>
    </row>
    <row r="131" spans="1:7">
      <c r="A131">
        <f>IFERROR(IF(B131="",0,IF(VALUE(LEFT(B131,1))&gt;3,VLOOKUP(VALUE(B131),PROYECCIONES!B:D,3,FALSE),0)),1 + COUNTIF($A$2:A130,"&gt;0"))</f>
        <v>0</v>
      </c>
      <c r="B131" s="52" t="s">
        <v>368</v>
      </c>
      <c r="C131" s="52" t="s">
        <v>163</v>
      </c>
      <c r="D131" s="53">
        <v>0</v>
      </c>
      <c r="E131" s="53">
        <v>599900</v>
      </c>
      <c r="F131" s="53">
        <v>0</v>
      </c>
      <c r="G131" s="53">
        <v>599900</v>
      </c>
    </row>
    <row r="132" spans="1:7">
      <c r="A132">
        <f>IFERROR(IF(B132="",0,IF(VALUE(LEFT(B132,1))&gt;3,VLOOKUP(VALUE(B132),PROYECCIONES!B:D,3,FALSE),0)),1 + COUNTIF($A$2:A131,"&gt;0"))</f>
        <v>0</v>
      </c>
      <c r="B132" s="52" t="s">
        <v>393</v>
      </c>
      <c r="C132" s="52" t="s">
        <v>164</v>
      </c>
      <c r="D132" s="53">
        <v>0</v>
      </c>
      <c r="E132" s="53">
        <v>3600000</v>
      </c>
      <c r="F132" s="53">
        <v>0</v>
      </c>
      <c r="G132" s="53">
        <v>3600000</v>
      </c>
    </row>
    <row r="133" spans="1:7">
      <c r="A133">
        <f>IFERROR(IF(B133="",0,IF(VALUE(LEFT(B133,1))&gt;3,VLOOKUP(VALUE(B133),PROYECCIONES!B:D,3,FALSE),0)),1 + COUNTIF($A$2:A132,"&gt;0"))</f>
        <v>0</v>
      </c>
      <c r="B133" s="52" t="s">
        <v>369</v>
      </c>
      <c r="C133" s="52" t="s">
        <v>165</v>
      </c>
      <c r="D133" s="53">
        <v>-2.3283064365386999E-10</v>
      </c>
      <c r="E133" s="53">
        <v>116510</v>
      </c>
      <c r="F133" s="53">
        <v>0</v>
      </c>
      <c r="G133" s="53">
        <v>116510</v>
      </c>
    </row>
    <row r="134" spans="1:7">
      <c r="A134">
        <f>IFERROR(IF(B134="",0,IF(VALUE(LEFT(B134,1))&gt;3,VLOOKUP(VALUE(B134),PROYECCIONES!B:D,3,FALSE),0)),1 + COUNTIF($A$2:A133,"&gt;0"))</f>
        <v>0</v>
      </c>
      <c r="B134" s="52" t="s">
        <v>346</v>
      </c>
      <c r="C134" s="52" t="s">
        <v>166</v>
      </c>
      <c r="D134" s="53">
        <v>2.3283064365386999E-10</v>
      </c>
      <c r="E134" s="53">
        <v>97818</v>
      </c>
      <c r="F134" s="53">
        <v>0</v>
      </c>
      <c r="G134" s="53">
        <v>97818.000000000204</v>
      </c>
    </row>
    <row r="135" spans="1:7">
      <c r="A135">
        <f>IFERROR(IF(B135="",0,IF(VALUE(LEFT(B135,1))&gt;3,VLOOKUP(VALUE(B135),PROYECCIONES!B:D,3,FALSE),0)),1 + COUNTIF($A$2:A134,"&gt;0"))</f>
        <v>0</v>
      </c>
      <c r="B135" s="52" t="s">
        <v>347</v>
      </c>
      <c r="C135" s="52" t="s">
        <v>167</v>
      </c>
      <c r="D135" s="53">
        <v>1.8626451492309599E-9</v>
      </c>
      <c r="E135" s="53">
        <v>27732</v>
      </c>
      <c r="F135" s="53">
        <v>0</v>
      </c>
      <c r="G135" s="53">
        <v>27732.000000001899</v>
      </c>
    </row>
    <row r="136" spans="1:7">
      <c r="A136">
        <f>IFERROR(IF(B136="",0,IF(VALUE(LEFT(B136,1))&gt;3,VLOOKUP(VALUE(B136),PROYECCIONES!B:D,3,FALSE),0)),1 + COUNTIF($A$2:A135,"&gt;0"))</f>
        <v>0</v>
      </c>
      <c r="B136" s="52" t="s">
        <v>394</v>
      </c>
      <c r="C136" s="52" t="s">
        <v>168</v>
      </c>
      <c r="D136" s="53">
        <v>0</v>
      </c>
      <c r="E136" s="53">
        <v>35000</v>
      </c>
      <c r="F136" s="53">
        <v>0</v>
      </c>
      <c r="G136" s="53">
        <v>35000</v>
      </c>
    </row>
    <row r="137" spans="1:7">
      <c r="A137">
        <f>IFERROR(IF(B137="",0,IF(VALUE(LEFT(B137,1))&gt;3,VLOOKUP(VALUE(B137),PROYECCIONES!B:D,3,FALSE),0)),1 + COUNTIF($A$2:A136,"&gt;0"))</f>
        <v>0</v>
      </c>
      <c r="B137" s="52" t="s">
        <v>442</v>
      </c>
      <c r="C137" s="52" t="s">
        <v>443</v>
      </c>
      <c r="D137" s="53">
        <v>0</v>
      </c>
      <c r="E137" s="53">
        <v>5000</v>
      </c>
      <c r="F137" s="53">
        <v>0</v>
      </c>
      <c r="G137" s="53">
        <v>5000</v>
      </c>
    </row>
    <row r="138" spans="1:7">
      <c r="A138">
        <f>IFERROR(IF(B138="",0,IF(VALUE(LEFT(B138,1))&gt;3,VLOOKUP(VALUE(B138),PROYECCIONES!B:D,3,FALSE),0)),1 + COUNTIF($A$2:A137,"&gt;0"))</f>
        <v>0</v>
      </c>
      <c r="B138" s="52" t="s">
        <v>348</v>
      </c>
      <c r="C138" s="52" t="s">
        <v>106</v>
      </c>
      <c r="D138" s="53">
        <v>0</v>
      </c>
      <c r="E138" s="53">
        <v>682960</v>
      </c>
      <c r="F138" s="53">
        <v>0</v>
      </c>
      <c r="G138" s="53">
        <v>682960</v>
      </c>
    </row>
    <row r="139" spans="1:7">
      <c r="A139">
        <f>IFERROR(IF(B139="",0,IF(VALUE(LEFT(B139,1))&gt;3,VLOOKUP(VALUE(B139),PROYECCIONES!B:D,3,FALSE),0)),1 + COUNTIF($A$2:A138,"&gt;0"))</f>
        <v>0</v>
      </c>
      <c r="B139" s="52" t="s">
        <v>370</v>
      </c>
      <c r="C139" s="52" t="s">
        <v>169</v>
      </c>
      <c r="D139" s="53">
        <v>0</v>
      </c>
      <c r="E139" s="53">
        <v>7810.54</v>
      </c>
      <c r="F139" s="53">
        <v>0</v>
      </c>
      <c r="G139" s="53">
        <v>7810.54</v>
      </c>
    </row>
    <row r="140" spans="1:7">
      <c r="A140">
        <f>IFERROR(IF(B140="",0,IF(VALUE(LEFT(B140,1))&gt;3,VLOOKUP(VALUE(B140),PROYECCIONES!B:D,3,FALSE),0)),1 + COUNTIF($A$2:A139,"&gt;0"))</f>
        <v>0</v>
      </c>
      <c r="B140" s="52" t="s">
        <v>349</v>
      </c>
      <c r="C140" s="52" t="s">
        <v>170</v>
      </c>
      <c r="D140" s="53">
        <v>-2.2351741790771501E-8</v>
      </c>
      <c r="E140" s="53">
        <v>3561221.93</v>
      </c>
      <c r="F140" s="53">
        <v>0</v>
      </c>
      <c r="G140" s="53">
        <v>3561221.9299999801</v>
      </c>
    </row>
    <row r="141" spans="1:7">
      <c r="A141">
        <f>IFERROR(IF(B141="",0,IF(VALUE(LEFT(B141,1))&gt;3,VLOOKUP(VALUE(B141),PROYECCIONES!B:D,3,FALSE),0)),1 + COUNTIF($A$2:A140,"&gt;0"))</f>
        <v>0</v>
      </c>
      <c r="B141" s="52" t="s">
        <v>533</v>
      </c>
      <c r="C141" s="52" t="s">
        <v>534</v>
      </c>
      <c r="D141" s="53">
        <v>0</v>
      </c>
      <c r="E141" s="53">
        <v>217245</v>
      </c>
      <c r="F141" s="53">
        <v>0</v>
      </c>
      <c r="G141" s="53">
        <v>217245</v>
      </c>
    </row>
    <row r="142" spans="1:7">
      <c r="A142">
        <f>IFERROR(IF(B142="",0,IF(VALUE(LEFT(B142,1))&gt;3,VLOOKUP(VALUE(B142),PROYECCIONES!B:D,3,FALSE),0)),1 + COUNTIF($A$2:A141,"&gt;0"))</f>
        <v>0</v>
      </c>
      <c r="B142" s="52" t="s">
        <v>466</v>
      </c>
      <c r="C142" s="52" t="s">
        <v>467</v>
      </c>
      <c r="D142" s="53">
        <v>0</v>
      </c>
      <c r="E142" s="53">
        <v>8000</v>
      </c>
      <c r="F142" s="53">
        <v>0</v>
      </c>
      <c r="G142" s="53">
        <v>8000</v>
      </c>
    </row>
    <row r="143" spans="1:7">
      <c r="A143">
        <f>IFERROR(IF(B143="",0,IF(VALUE(LEFT(B143,1))&gt;3,VLOOKUP(VALUE(B143),PROYECCIONES!B:D,3,FALSE),0)),1 + COUNTIF($A$2:A142,"&gt;0"))</f>
        <v>0</v>
      </c>
      <c r="B143" s="52" t="s">
        <v>350</v>
      </c>
      <c r="C143" s="52" t="s">
        <v>174</v>
      </c>
      <c r="D143" s="53">
        <v>0</v>
      </c>
      <c r="E143" s="53">
        <v>1500000</v>
      </c>
      <c r="F143" s="53">
        <v>0</v>
      </c>
      <c r="G143" s="53">
        <v>1500000</v>
      </c>
    </row>
    <row r="144" spans="1:7">
      <c r="A144">
        <f>IFERROR(IF(B144="",0,IF(VALUE(LEFT(B144,1))&gt;3,VLOOKUP(VALUE(B144),PROYECCIONES!B:D,3,FALSE),0)),1 + COUNTIF($A$2:A143,"&gt;0"))</f>
        <v>0</v>
      </c>
      <c r="B144" s="52" t="s">
        <v>422</v>
      </c>
      <c r="C144" s="52" t="s">
        <v>423</v>
      </c>
      <c r="D144" s="53">
        <v>0</v>
      </c>
      <c r="E144" s="53">
        <v>611206.65</v>
      </c>
      <c r="F144" s="53">
        <v>0</v>
      </c>
      <c r="G144" s="53">
        <v>611206.65</v>
      </c>
    </row>
    <row r="145" spans="1:7">
      <c r="A145">
        <f>IFERROR(IF(B145="",0,IF(VALUE(LEFT(B145,1))&gt;3,VLOOKUP(VALUE(B145),PROYECCIONES!B:D,3,FALSE),0)),1 + COUNTIF($A$2:A144,"&gt;0"))</f>
        <v>0</v>
      </c>
      <c r="B145" s="52" t="s">
        <v>351</v>
      </c>
      <c r="C145" s="52" t="s">
        <v>178</v>
      </c>
      <c r="D145" s="53">
        <v>0</v>
      </c>
      <c r="E145" s="53">
        <v>209776.9</v>
      </c>
      <c r="F145" s="53">
        <v>0</v>
      </c>
      <c r="G145" s="53">
        <v>209776.9</v>
      </c>
    </row>
    <row r="146" spans="1:7">
      <c r="A146">
        <f>IFERROR(IF(B146="",0,IF(VALUE(LEFT(B146,1))&gt;3,VLOOKUP(VALUE(B146),PROYECCIONES!B:D,3,FALSE),0)),1 + COUNTIF($A$2:A145,"&gt;0"))</f>
        <v>0</v>
      </c>
      <c r="B146" s="52" t="s">
        <v>352</v>
      </c>
      <c r="C146" s="52" t="s">
        <v>179</v>
      </c>
      <c r="D146" s="53">
        <v>0</v>
      </c>
      <c r="E146" s="53">
        <v>167601</v>
      </c>
      <c r="F146" s="53">
        <v>0</v>
      </c>
      <c r="G146" s="53">
        <v>167601</v>
      </c>
    </row>
    <row r="147" spans="1:7">
      <c r="A147">
        <f>IFERROR(IF(B147="",0,IF(VALUE(LEFT(B147,1))&gt;3,VLOOKUP(VALUE(B147),PROYECCIONES!B:D,3,FALSE),0)),1 + COUNTIF($A$2:A146,"&gt;0"))</f>
        <v>0</v>
      </c>
      <c r="B147" s="52" t="s">
        <v>397</v>
      </c>
      <c r="C147" s="52" t="s">
        <v>180</v>
      </c>
      <c r="D147" s="53">
        <v>0</v>
      </c>
      <c r="E147" s="53">
        <v>1014791</v>
      </c>
      <c r="F147" s="53">
        <v>0</v>
      </c>
      <c r="G147" s="53">
        <v>1014791</v>
      </c>
    </row>
    <row r="148" spans="1:7">
      <c r="A148">
        <f>IFERROR(IF(B148="",0,IF(VALUE(LEFT(B148,1))&gt;3,VLOOKUP(VALUE(B148),PROYECCIONES!B:D,3,FALSE),0)),1 + COUNTIF($A$2:A147,"&gt;0"))</f>
        <v>0</v>
      </c>
      <c r="B148" s="52" t="s">
        <v>353</v>
      </c>
      <c r="C148" s="52" t="s">
        <v>181</v>
      </c>
      <c r="D148" s="53">
        <v>0</v>
      </c>
      <c r="E148" s="53">
        <v>5876.64</v>
      </c>
      <c r="F148" s="53">
        <v>0</v>
      </c>
      <c r="G148" s="53">
        <v>5876.6400000000103</v>
      </c>
    </row>
    <row r="149" spans="1:7">
      <c r="A149">
        <f>IFERROR(IF(B149="",0,IF(VALUE(LEFT(B149,1))&gt;3,VLOOKUP(VALUE(B149),PROYECCIONES!B:D,3,FALSE),0)),1 + COUNTIF($A$2:A148,"&gt;0"))</f>
        <v>0</v>
      </c>
      <c r="B149" s="52" t="s">
        <v>535</v>
      </c>
      <c r="C149" s="52" t="s">
        <v>183</v>
      </c>
      <c r="D149" s="53">
        <v>0</v>
      </c>
      <c r="E149" s="53">
        <v>270777.77</v>
      </c>
      <c r="F149" s="53">
        <v>0</v>
      </c>
      <c r="G149" s="53">
        <v>270777.77</v>
      </c>
    </row>
    <row r="150" spans="1:7">
      <c r="A150">
        <f>IFERROR(IF(B150="",0,IF(VALUE(LEFT(B150,1))&gt;3,VLOOKUP(VALUE(B150),PROYECCIONES!B:D,3,FALSE),0)),1 + COUNTIF($A$2:A149,"&gt;0"))</f>
        <v>0</v>
      </c>
      <c r="B150" s="52" t="s">
        <v>354</v>
      </c>
      <c r="C150" s="52" t="s">
        <v>107</v>
      </c>
      <c r="D150" s="53">
        <v>0</v>
      </c>
      <c r="E150" s="53">
        <v>31068.59</v>
      </c>
      <c r="F150" s="53">
        <v>0</v>
      </c>
      <c r="G150" s="53">
        <v>31068.590000000098</v>
      </c>
    </row>
    <row r="151" spans="1:7">
      <c r="A151">
        <f>IFERROR(IF(B151="",0,IF(VALUE(LEFT(B151,1))&gt;3,VLOOKUP(VALUE(B151),PROYECCIONES!B:D,3,FALSE),0)),1 + COUNTIF($A$2:A150,"&gt;0"))</f>
        <v>0</v>
      </c>
      <c r="B151" s="52" t="s">
        <v>372</v>
      </c>
      <c r="C151" s="52" t="s">
        <v>184</v>
      </c>
      <c r="D151" s="53">
        <v>0</v>
      </c>
      <c r="E151" s="53">
        <v>182000</v>
      </c>
      <c r="F151" s="53">
        <v>0</v>
      </c>
      <c r="G151" s="53">
        <v>182000</v>
      </c>
    </row>
    <row r="152" spans="1:7">
      <c r="A152">
        <f>IFERROR(IF(B152="",0,IF(VALUE(LEFT(B152,1))&gt;3,VLOOKUP(VALUE(B152),PROYECCIONES!B:D,3,FALSE),0)),1 + COUNTIF($A$2:A151,"&gt;0"))</f>
        <v>0</v>
      </c>
      <c r="B152" s="52" t="s">
        <v>355</v>
      </c>
      <c r="C152" s="52" t="s">
        <v>185</v>
      </c>
      <c r="D152" s="53">
        <v>0</v>
      </c>
      <c r="E152" s="53">
        <v>300000</v>
      </c>
      <c r="F152" s="53">
        <v>0</v>
      </c>
      <c r="G152" s="53">
        <v>300000</v>
      </c>
    </row>
    <row r="153" spans="1:7">
      <c r="A153">
        <f>IFERROR(IF(B153="",0,IF(VALUE(LEFT(B153,1))&gt;3,VLOOKUP(VALUE(B153),PROYECCIONES!B:D,3,FALSE),0)),1 + COUNTIF($A$2:A152,"&gt;0"))</f>
        <v>0</v>
      </c>
      <c r="B153" s="52" t="s">
        <v>356</v>
      </c>
      <c r="C153" s="52" t="s">
        <v>99</v>
      </c>
      <c r="D153" s="53">
        <v>-3.4924596548080398E-10</v>
      </c>
      <c r="E153" s="53">
        <v>726.12</v>
      </c>
      <c r="F153" s="53">
        <v>135.36000000000001</v>
      </c>
      <c r="G153" s="53">
        <v>590.75999999965995</v>
      </c>
    </row>
    <row r="154" spans="1:7">
      <c r="A154">
        <f>IFERROR(IF(B154="",0,IF(VALUE(LEFT(B154,1))&gt;3,VLOOKUP(VALUE(B154),PROYECCIONES!B:D,3,FALSE),0)),1 + COUNTIF($A$2:A153,"&gt;0"))</f>
        <v>0</v>
      </c>
      <c r="B154" s="52" t="s">
        <v>415</v>
      </c>
      <c r="C154" s="52" t="s">
        <v>100</v>
      </c>
      <c r="D154" s="53">
        <v>0</v>
      </c>
      <c r="E154" s="53">
        <v>15723334</v>
      </c>
      <c r="F154" s="53">
        <v>0</v>
      </c>
      <c r="G154" s="53">
        <v>15723334</v>
      </c>
    </row>
    <row r="155" spans="1:7">
      <c r="A155">
        <f>IFERROR(IF(B155="",0,IF(VALUE(LEFT(B155,1))&gt;3,VLOOKUP(VALUE(B155),PROYECCIONES!B:D,3,FALSE),0)),1 + COUNTIF($A$2:A154,"&gt;0"))</f>
        <v>0</v>
      </c>
      <c r="B155" s="52" t="s">
        <v>416</v>
      </c>
      <c r="C155" s="52" t="s">
        <v>101</v>
      </c>
      <c r="D155" s="53">
        <v>0</v>
      </c>
      <c r="E155" s="53">
        <v>596361</v>
      </c>
      <c r="F155" s="53">
        <v>0</v>
      </c>
      <c r="G155" s="53">
        <v>596361</v>
      </c>
    </row>
    <row r="156" spans="1:7">
      <c r="A156">
        <f>IFERROR(IF(B156="",0,IF(VALUE(LEFT(B156,1))&gt;3,VLOOKUP(VALUE(B156),PROYECCIONES!B:D,3,FALSE),0)),1 + COUNTIF($A$2:A155,"&gt;0"))</f>
        <v>0</v>
      </c>
      <c r="B156" s="52" t="s">
        <v>398</v>
      </c>
      <c r="C156" s="52" t="s">
        <v>96</v>
      </c>
      <c r="D156" s="53">
        <v>0</v>
      </c>
      <c r="E156" s="53">
        <v>1541920</v>
      </c>
      <c r="F156" s="53">
        <v>0</v>
      </c>
      <c r="G156" s="53">
        <v>1541920</v>
      </c>
    </row>
    <row r="157" spans="1:7">
      <c r="A157">
        <f>IFERROR(IF(B157="",0,IF(VALUE(LEFT(B157,1))&gt;3,VLOOKUP(VALUE(B157),PROYECCIONES!B:D,3,FALSE),0)),1 + COUNTIF($A$2:A156,"&gt;0"))</f>
        <v>0</v>
      </c>
      <c r="B157" s="52" t="s">
        <v>399</v>
      </c>
      <c r="C157" s="52" t="s">
        <v>97</v>
      </c>
      <c r="D157" s="53">
        <v>0</v>
      </c>
      <c r="E157" s="53">
        <v>1541920</v>
      </c>
      <c r="F157" s="53">
        <v>0</v>
      </c>
      <c r="G157" s="53">
        <v>1541920</v>
      </c>
    </row>
    <row r="158" spans="1:7">
      <c r="B158" s="52" t="s">
        <v>400</v>
      </c>
      <c r="C158" s="52" t="s">
        <v>98</v>
      </c>
      <c r="D158" s="53">
        <v>0</v>
      </c>
      <c r="E158" s="53">
        <v>741668</v>
      </c>
      <c r="F158" s="53">
        <v>0</v>
      </c>
      <c r="G158" s="53">
        <v>741668</v>
      </c>
    </row>
    <row r="159" spans="1:7">
      <c r="B159" s="52" t="s">
        <v>401</v>
      </c>
      <c r="C159" s="52" t="s">
        <v>204</v>
      </c>
      <c r="D159" s="53">
        <v>0</v>
      </c>
      <c r="E159" s="53">
        <v>92916</v>
      </c>
      <c r="F159" s="53">
        <v>0</v>
      </c>
      <c r="G159" s="53">
        <v>92916</v>
      </c>
    </row>
    <row r="160" spans="1:7">
      <c r="B160" s="52" t="s">
        <v>402</v>
      </c>
      <c r="C160" s="52" t="s">
        <v>205</v>
      </c>
      <c r="D160" s="53">
        <v>0</v>
      </c>
      <c r="E160" s="53">
        <v>2136000</v>
      </c>
      <c r="F160" s="53">
        <v>0</v>
      </c>
      <c r="G160" s="53">
        <v>2136000</v>
      </c>
    </row>
    <row r="161" spans="1:7">
      <c r="B161" s="52" t="s">
        <v>403</v>
      </c>
      <c r="C161" s="52" t="s">
        <v>206</v>
      </c>
      <c r="D161" s="53">
        <v>0</v>
      </c>
      <c r="E161" s="53">
        <v>712000</v>
      </c>
      <c r="F161" s="53">
        <v>0</v>
      </c>
      <c r="G161" s="53">
        <v>712000</v>
      </c>
    </row>
    <row r="162" spans="1:7">
      <c r="B162" s="52" t="s">
        <v>417</v>
      </c>
      <c r="C162" s="52" t="s">
        <v>164</v>
      </c>
      <c r="D162" s="53">
        <v>0</v>
      </c>
      <c r="E162" s="53">
        <v>4800000</v>
      </c>
      <c r="F162" s="53">
        <v>0</v>
      </c>
      <c r="G162" s="53">
        <v>4800000</v>
      </c>
    </row>
    <row r="163" spans="1:7">
      <c r="B163" s="52" t="s">
        <v>404</v>
      </c>
      <c r="C163" s="52" t="s">
        <v>102</v>
      </c>
      <c r="D163" s="53">
        <v>0</v>
      </c>
      <c r="E163" s="53">
        <v>185032</v>
      </c>
      <c r="F163" s="53">
        <v>0</v>
      </c>
      <c r="G163" s="53">
        <v>185032</v>
      </c>
    </row>
    <row r="164" spans="1:7">
      <c r="A164">
        <f>IFERROR(IF(B164="",0,IF(VALUE(LEFT(B164,1))&gt;3,VLOOKUP(VALUE(B164),PROYECCIONES!B:D,3,FALSE),0)),1 + COUNTIF($A$2:A163,"&gt;0"))</f>
        <v>0</v>
      </c>
      <c r="B164" s="52" t="s">
        <v>357</v>
      </c>
      <c r="C164" s="52" t="s">
        <v>357</v>
      </c>
      <c r="D164" s="53">
        <v>0</v>
      </c>
      <c r="E164" s="53" t="s">
        <v>610</v>
      </c>
      <c r="F164" s="53" t="s">
        <v>610</v>
      </c>
      <c r="G164" s="53">
        <v>0</v>
      </c>
    </row>
    <row r="165" spans="1:7">
      <c r="A165">
        <f>IFERROR(IF(B165="",0,IF(VALUE(LEFT(B165,1))&gt;3,VLOOKUP(VALUE(B165),PROYECCIONES!B:D,3,FALSE),0)),1 + COUNTIF($A$2:A164,"&gt;0"))</f>
        <v>0</v>
      </c>
      <c r="B165" s="185"/>
      <c r="C165" s="185"/>
      <c r="D165" s="53"/>
      <c r="E165" s="53"/>
      <c r="F165" s="53"/>
      <c r="G165" s="53"/>
    </row>
    <row r="166" spans="1:7">
      <c r="A166">
        <f>IFERROR(IF(B166="",0,IF(VALUE(LEFT(B166,1))&gt;3,VLOOKUP(VALUE(B166),PROYECCIONES!B:D,3,FALSE),0)),1 + COUNTIF($A$2:A165,"&gt;0"))</f>
        <v>0</v>
      </c>
      <c r="B166" s="185"/>
      <c r="C166" s="185"/>
      <c r="D166" s="53"/>
      <c r="E166" s="53"/>
      <c r="F166" s="53"/>
      <c r="G166" s="53"/>
    </row>
    <row r="167" spans="1:7">
      <c r="A167">
        <f>IFERROR(IF(B167="",0,IF(VALUE(LEFT(B167,1))&gt;3,VLOOKUP(VALUE(B167),PROYECCIONES!B:D,3,FALSE),0)),1 + COUNTIF($A$2:A166,"&gt;0"))</f>
        <v>0</v>
      </c>
      <c r="B167" s="185"/>
      <c r="C167" s="185"/>
      <c r="D167" s="53"/>
      <c r="E167" s="53"/>
      <c r="F167" s="53"/>
      <c r="G167" s="53"/>
    </row>
    <row r="168" spans="1:7">
      <c r="A168">
        <f>IFERROR(IF(B168="",0,IF(VALUE(LEFT(B168,1))&gt;3,VLOOKUP(VALUE(B168),PROYECCIONES!B:D,3,FALSE),0)),1 + COUNTIF($A$2:A167,"&gt;0"))</f>
        <v>0</v>
      </c>
      <c r="B168" s="185"/>
      <c r="C168" s="185"/>
      <c r="D168" s="53"/>
      <c r="E168" s="53"/>
      <c r="F168" s="53"/>
      <c r="G168" s="53"/>
    </row>
    <row r="169" spans="1:7">
      <c r="A169">
        <f>IFERROR(IF(B169="",0,IF(VALUE(LEFT(B169,1))&gt;3,VLOOKUP(VALUE(B169),PROYECCIONES!B:D,3,FALSE),0)),1 + COUNTIF($A$2:A168,"&gt;0"))</f>
        <v>0</v>
      </c>
      <c r="B169" s="185"/>
      <c r="C169" s="185"/>
      <c r="D169" s="53"/>
      <c r="E169" s="53"/>
      <c r="F169" s="53"/>
      <c r="G169" s="53"/>
    </row>
    <row r="170" spans="1:7">
      <c r="A170">
        <f>IFERROR(IF(B170="",0,IF(VALUE(LEFT(B170,1))&gt;3,VLOOKUP(VALUE(B170),PROYECCIONES!B:D,3,FALSE),0)),1 + COUNTIF($A$2:A169,"&gt;0"))</f>
        <v>0</v>
      </c>
      <c r="B170" s="185"/>
      <c r="C170" s="185"/>
      <c r="D170" s="53"/>
      <c r="E170" s="53"/>
      <c r="F170" s="53"/>
      <c r="G170" s="53"/>
    </row>
    <row r="171" spans="1:7">
      <c r="A171">
        <f>IFERROR(IF(B171="",0,IF(VALUE(LEFT(B171,1))&gt;3,VLOOKUP(VALUE(B171),PROYECCIONES!B:D,3,FALSE),0)),1 + COUNTIF($A$2:A170,"&gt;0"))</f>
        <v>0</v>
      </c>
      <c r="B171" s="185"/>
      <c r="C171" s="185"/>
      <c r="D171" s="53"/>
      <c r="E171" s="53"/>
      <c r="F171" s="53"/>
      <c r="G171" s="53"/>
    </row>
    <row r="172" spans="1:7">
      <c r="A172">
        <f>IFERROR(IF(B172="",0,IF(VALUE(LEFT(B172,1))&gt;3,VLOOKUP(VALUE(B172),PROYECCIONES!B:D,3,FALSE),0)),1 + COUNTIF($A$2:A171,"&gt;0"))</f>
        <v>0</v>
      </c>
      <c r="B172" s="185"/>
      <c r="C172" s="185"/>
      <c r="D172" s="53"/>
      <c r="E172" s="53"/>
      <c r="F172" s="53"/>
      <c r="G172" s="53"/>
    </row>
    <row r="173" spans="1:7">
      <c r="A173">
        <f>IFERROR(IF(B173="",0,IF(VALUE(LEFT(B173,1))&gt;3,VLOOKUP(VALUE(B173),PROYECCIONES!B:D,3,FALSE),0)),1 + COUNTIF($A$2:A172,"&gt;0"))</f>
        <v>0</v>
      </c>
      <c r="B173" s="185"/>
      <c r="C173" s="185"/>
      <c r="D173" s="53"/>
      <c r="E173" s="53"/>
      <c r="F173" s="53"/>
      <c r="G173" s="53"/>
    </row>
    <row r="174" spans="1:7">
      <c r="A174">
        <f>IFERROR(IF(B174="",0,IF(VALUE(LEFT(B174,1))&gt;3,VLOOKUP(VALUE(B174),PROYECCIONES!B:D,3,FALSE),0)),1 + COUNTIF($A$2:A173,"&gt;0"))</f>
        <v>0</v>
      </c>
      <c r="B174" s="185"/>
      <c r="C174" s="185"/>
      <c r="D174" s="53"/>
      <c r="E174" s="53"/>
      <c r="F174" s="53"/>
      <c r="G174" s="53"/>
    </row>
    <row r="175" spans="1:7">
      <c r="A175">
        <f>IFERROR(IF(B175="",0,IF(VALUE(LEFT(B175,1))&gt;3,VLOOKUP(VALUE(B175),PROYECCIONES!B:D,3,FALSE),0)),1 + COUNTIF($A$2:A174,"&gt;0"))</f>
        <v>0</v>
      </c>
      <c r="B175" s="185"/>
      <c r="C175" s="185"/>
      <c r="D175" s="53"/>
      <c r="E175" s="53"/>
      <c r="F175" s="53"/>
      <c r="G175" s="53"/>
    </row>
    <row r="176" spans="1:7">
      <c r="A176">
        <f>IFERROR(IF(B176="",0,IF(VALUE(LEFT(B176,1))&gt;3,VLOOKUP(VALUE(B176),PROYECCIONES!B:D,3,FALSE),0)),1 + COUNTIF($A$2:A175,"&gt;0"))</f>
        <v>0</v>
      </c>
      <c r="B176" s="185"/>
      <c r="C176" s="185"/>
      <c r="D176" s="53"/>
      <c r="E176" s="53"/>
      <c r="F176" s="53"/>
      <c r="G176" s="53"/>
    </row>
    <row r="177" spans="1:7">
      <c r="A177">
        <f>IFERROR(IF(B177="",0,IF(VALUE(LEFT(B177,1))&gt;3,VLOOKUP(VALUE(B177),PROYECCIONES!B:D,3,FALSE),0)),1 + COUNTIF($A$2:A176,"&gt;0"))</f>
        <v>0</v>
      </c>
      <c r="B177" s="185"/>
      <c r="C177" s="185"/>
      <c r="D177" s="53"/>
      <c r="E177" s="53"/>
      <c r="F177" s="53"/>
      <c r="G177" s="53"/>
    </row>
    <row r="178" spans="1:7">
      <c r="A178">
        <f>IFERROR(IF(B178="",0,IF(VALUE(LEFT(B178,1))&gt;3,VLOOKUP(VALUE(B178),PROYECCIONES!B:D,3,FALSE),0)),1 + COUNTIF($A$2:A177,"&gt;0"))</f>
        <v>0</v>
      </c>
      <c r="B178" s="185"/>
      <c r="C178" s="185"/>
      <c r="D178" s="53"/>
      <c r="E178" s="53"/>
      <c r="F178" s="53"/>
      <c r="G178" s="53"/>
    </row>
    <row r="179" spans="1:7">
      <c r="A179">
        <f>IFERROR(IF(B179="",0,IF(VALUE(LEFT(B179,1))&gt;3,VLOOKUP(VALUE(B179),PROYECCIONES!B:D,3,FALSE),0)),1 + COUNTIF($A$2:A178,"&gt;0"))</f>
        <v>0</v>
      </c>
      <c r="B179" s="185"/>
      <c r="C179" s="185"/>
      <c r="D179" s="53"/>
      <c r="E179" s="53"/>
      <c r="F179" s="53"/>
      <c r="G179" s="53"/>
    </row>
    <row r="180" spans="1:7">
      <c r="A180">
        <f>IFERROR(IF(B180="",0,IF(VALUE(LEFT(B180,1))&gt;3,VLOOKUP(VALUE(B180),PROYECCIONES!B:D,3,FALSE),0)),1 + COUNTIF($A$2:A179,"&gt;0"))</f>
        <v>0</v>
      </c>
      <c r="B180" s="185"/>
      <c r="C180" s="185"/>
      <c r="D180" s="53"/>
      <c r="E180" s="53"/>
      <c r="F180" s="53"/>
      <c r="G180" s="53"/>
    </row>
    <row r="181" spans="1:7">
      <c r="A181">
        <f>IFERROR(IF(B181="",0,IF(VALUE(LEFT(B181,1))&gt;3,VLOOKUP(VALUE(B181),PROYECCIONES!B:D,3,FALSE),0)),1 + COUNTIF($A$2:A180,"&gt;0"))</f>
        <v>0</v>
      </c>
      <c r="B181" s="185"/>
      <c r="C181" s="185"/>
      <c r="D181" s="53"/>
      <c r="E181" s="53"/>
      <c r="F181" s="53"/>
      <c r="G181" s="53"/>
    </row>
    <row r="182" spans="1:7">
      <c r="A182">
        <f>IFERROR(IF(B182="",0,IF(VALUE(LEFT(B182,1))&gt;3,VLOOKUP(VALUE(B182),PROYECCIONES!B:D,3,FALSE),0)),1 + COUNTIF($A$2:A181,"&gt;0"))</f>
        <v>0</v>
      </c>
      <c r="B182" s="185"/>
      <c r="C182" s="185"/>
      <c r="D182" s="53"/>
      <c r="E182" s="53"/>
      <c r="F182" s="53"/>
      <c r="G182" s="53"/>
    </row>
    <row r="183" spans="1:7">
      <c r="A183">
        <f>IFERROR(IF(B183="",0,IF(VALUE(LEFT(B183,1))&gt;3,VLOOKUP(VALUE(B183),PROYECCIONES!B:D,3,FALSE),0)),1 + COUNTIF($A$2:A182,"&gt;0"))</f>
        <v>0</v>
      </c>
      <c r="B183" s="185"/>
      <c r="C183" s="185"/>
      <c r="D183" s="53"/>
      <c r="E183" s="53"/>
      <c r="F183" s="53"/>
      <c r="G183" s="53"/>
    </row>
    <row r="184" spans="1:7">
      <c r="A184">
        <f>IFERROR(IF(B184="",0,IF(VALUE(LEFT(B184,1))&gt;3,VLOOKUP(VALUE(B184),PROYECCIONES!B:D,3,FALSE),0)),1 + COUNTIF($A$2:A183,"&gt;0"))</f>
        <v>0</v>
      </c>
      <c r="B184" s="185"/>
      <c r="C184" s="185"/>
      <c r="D184" s="53"/>
      <c r="E184" s="53"/>
      <c r="F184" s="53"/>
      <c r="G184" s="53"/>
    </row>
    <row r="185" spans="1:7">
      <c r="A185">
        <f>IFERROR(IF(B185="",0,IF(VALUE(LEFT(B185,1))&gt;3,VLOOKUP(VALUE(B185),PROYECCIONES!B:D,3,FALSE),0)),1 + COUNTIF($A$2:A184,"&gt;0"))</f>
        <v>0</v>
      </c>
      <c r="B185" s="185"/>
      <c r="C185" s="185"/>
      <c r="D185" s="53"/>
      <c r="E185" s="53"/>
      <c r="F185" s="53"/>
      <c r="G185" s="53"/>
    </row>
    <row r="186" spans="1:7">
      <c r="A186">
        <f>IFERROR(IF(B186="",0,IF(VALUE(LEFT(B186,1))&gt;3,VLOOKUP(VALUE(B186),PROYECCIONES!B:D,3,FALSE),0)),1 + COUNTIF($A$2:A185,"&gt;0"))</f>
        <v>0</v>
      </c>
      <c r="B186" s="185"/>
      <c r="C186" s="185"/>
      <c r="D186" s="53"/>
      <c r="E186" s="53"/>
      <c r="F186" s="53"/>
      <c r="G186" s="53"/>
    </row>
    <row r="187" spans="1:7">
      <c r="A187">
        <f>IFERROR(IF(B187="",0,IF(VALUE(LEFT(B187,1))&gt;3,VLOOKUP(VALUE(B187),PROYECCIONES!B:D,3,FALSE),0)),1 + COUNTIF($A$2:A186,"&gt;0"))</f>
        <v>0</v>
      </c>
      <c r="B187" s="185"/>
      <c r="C187" s="185"/>
      <c r="D187" s="53"/>
      <c r="E187" s="53"/>
      <c r="F187" s="53"/>
      <c r="G187" s="53"/>
    </row>
    <row r="188" spans="1:7">
      <c r="A188">
        <f>IFERROR(IF(B188="",0,IF(VALUE(LEFT(B188,1))&gt;3,VLOOKUP(VALUE(B188),PROYECCIONES!B:D,3,FALSE),0)),1 + COUNTIF($A$2:A187,"&gt;0"))</f>
        <v>0</v>
      </c>
      <c r="B188" s="185"/>
      <c r="C188" s="185"/>
      <c r="D188" s="53"/>
      <c r="E188" s="53"/>
      <c r="F188" s="53"/>
      <c r="G188" s="53"/>
    </row>
    <row r="189" spans="1:7">
      <c r="A189">
        <f>IFERROR(IF(B189="",0,IF(VALUE(LEFT(B189,1))&gt;3,VLOOKUP(VALUE(B189),PROYECCIONES!B:D,3,FALSE),0)),1 + COUNTIF($A$2:A188,"&gt;0"))</f>
        <v>0</v>
      </c>
      <c r="B189" s="185"/>
      <c r="C189" s="185"/>
      <c r="D189" s="53"/>
      <c r="E189" s="53"/>
      <c r="F189" s="53"/>
      <c r="G189" s="53"/>
    </row>
    <row r="190" spans="1:7">
      <c r="A190">
        <f>IFERROR(IF(B190="",0,IF(VALUE(LEFT(B190,1))&gt;3,VLOOKUP(VALUE(B190),PROYECCIONES!B:D,3,FALSE),0)),1 + COUNTIF($A$2:A189,"&gt;0"))</f>
        <v>0</v>
      </c>
      <c r="B190" s="185"/>
      <c r="C190" s="185"/>
      <c r="D190" s="53"/>
      <c r="E190" s="53"/>
      <c r="F190" s="53"/>
      <c r="G190" s="53"/>
    </row>
    <row r="191" spans="1:7">
      <c r="A191">
        <f>IFERROR(IF(B191="",0,IF(VALUE(LEFT(B191,1))&gt;3,VLOOKUP(VALUE(B191),PROYECCIONES!B:D,3,FALSE),0)),1 + COUNTIF($A$2:A190,"&gt;0"))</f>
        <v>0</v>
      </c>
      <c r="B191" s="185"/>
      <c r="C191" s="185"/>
      <c r="D191" s="53"/>
      <c r="E191" s="53"/>
      <c r="F191" s="53"/>
      <c r="G191" s="53"/>
    </row>
    <row r="192" spans="1:7">
      <c r="A192">
        <f>IFERROR(IF(B192="",0,IF(VALUE(LEFT(B192,1))&gt;3,VLOOKUP(VALUE(B192),PROYECCIONES!B:D,3,FALSE),0)),1 + COUNTIF($A$2:A191,"&gt;0"))</f>
        <v>0</v>
      </c>
      <c r="B192" s="185"/>
      <c r="C192" s="185"/>
      <c r="D192" s="53"/>
      <c r="E192" s="53"/>
      <c r="F192" s="53"/>
      <c r="G192" s="53"/>
    </row>
    <row r="193" spans="1:7">
      <c r="A193">
        <f>IFERROR(IF(B193="",0,IF(VALUE(LEFT(B193,1))&gt;3,VLOOKUP(VALUE(B193),PROYECCIONES!B:D,3,FALSE),0)),1 + COUNTIF($A$2:A192,"&gt;0"))</f>
        <v>0</v>
      </c>
      <c r="B193" s="185"/>
      <c r="C193" s="185"/>
      <c r="D193" s="53"/>
      <c r="E193" s="53"/>
      <c r="F193" s="53"/>
      <c r="G193" s="53"/>
    </row>
    <row r="194" spans="1:7">
      <c r="A194">
        <f>IFERROR(IF(B194="",0,IF(VALUE(LEFT(B194,1))&gt;3,VLOOKUP(VALUE(B194),PROYECCIONES!B:D,3,FALSE),0)),1 + COUNTIF($A$2:A193,"&gt;0"))</f>
        <v>0</v>
      </c>
      <c r="B194" s="185"/>
      <c r="C194" s="185"/>
      <c r="D194" s="53"/>
      <c r="E194" s="53"/>
      <c r="F194" s="53"/>
      <c r="G194" s="53"/>
    </row>
    <row r="195" spans="1:7">
      <c r="A195">
        <f>IFERROR(IF(B195="",0,IF(VALUE(LEFT(B195,1))&gt;3,VLOOKUP(VALUE(B195),PROYECCIONES!B:D,3,FALSE),0)),1 + COUNTIF($A$2:A194,"&gt;0"))</f>
        <v>0</v>
      </c>
      <c r="B195" s="185"/>
      <c r="C195" s="185"/>
      <c r="D195" s="53"/>
      <c r="E195" s="53"/>
      <c r="F195" s="53"/>
      <c r="G195" s="53"/>
    </row>
    <row r="196" spans="1:7">
      <c r="A196">
        <f>IFERROR(IF(B196="",0,IF(VALUE(LEFT(B196,1))&gt;3,VLOOKUP(VALUE(B196),PROYECCIONES!B:D,3,FALSE),0)),1 + COUNTIF($A$2:A195,"&gt;0"))</f>
        <v>0</v>
      </c>
    </row>
    <row r="197" spans="1:7">
      <c r="A197">
        <f>IFERROR(IF(B197="",0,IF(VALUE(LEFT(B197,1))&gt;3,VLOOKUP(VALUE(B197),PROYECCIONES!B:D,3,FALSE),0)),1 + COUNTIF($A$2:A196,"&gt;0"))</f>
        <v>0</v>
      </c>
    </row>
    <row r="198" spans="1:7">
      <c r="A198">
        <f>IFERROR(IF(B198="",0,IF(VALUE(LEFT(B198,1))&gt;3,VLOOKUP(VALUE(B198),PROYECCIONES!B:D,3,FALSE),0)),1 + COUNTIF($A$2:A197,"&gt;0"))</f>
        <v>0</v>
      </c>
    </row>
    <row r="199" spans="1:7">
      <c r="A199">
        <f>IFERROR(IF(B199="",0,IF(VALUE(LEFT(B199,1))&gt;3,VLOOKUP(VALUE(B199),PROYECCIONES!B:D,3,FALSE),0)),1 + COUNTIF($A$2:A198,"&gt;0"))</f>
        <v>0</v>
      </c>
    </row>
    <row r="200" spans="1:7">
      <c r="A200">
        <f>IFERROR(IF(B200="",0,IF(VALUE(LEFT(B200,1))&gt;3,VLOOKUP(VALUE(B200),PROYECCIONES!B:D,3,FALSE),0)),1 + COUNTIF($A$2:A199,"&gt;0"))</f>
        <v>0</v>
      </c>
    </row>
    <row r="201" spans="1:7">
      <c r="A201">
        <f>IFERROR(IF(B201="",0,IF(VALUE(LEFT(B201,1))&gt;3,VLOOKUP(VALUE(B201),PROYECCIONES!B:D,3,FALSE),0)),1 + COUNTIF($A$2:A200,"&gt;0"))</f>
        <v>0</v>
      </c>
    </row>
    <row r="202" spans="1:7">
      <c r="A202">
        <f>IFERROR(IF(B202="",0,IF(VALUE(LEFT(B202,1))&gt;3,VLOOKUP(VALUE(B202),PROYECCIONES!B:D,3,FALSE),0)),1 + COUNTIF($A$2:A201,"&gt;0"))</f>
        <v>0</v>
      </c>
    </row>
    <row r="203" spans="1:7">
      <c r="A203">
        <f>IFERROR(IF(B203="",0,IF(VALUE(LEFT(B203,1))&gt;3,VLOOKUP(VALUE(B203),PROYECCIONES!B:D,3,FALSE),0)),1 + COUNTIF($A$2:A202,"&gt;0"))</f>
        <v>0</v>
      </c>
    </row>
    <row r="204" spans="1:7">
      <c r="A204">
        <f>IFERROR(IF(B204="",0,IF(VALUE(LEFT(B204,1))&gt;3,VLOOKUP(VALUE(B204),PROYECCIONES!B:D,3,FALSE),0)),1 + COUNTIF($A$2:A203,"&gt;0"))</f>
        <v>0</v>
      </c>
    </row>
    <row r="205" spans="1:7">
      <c r="A205">
        <f>IFERROR(IF(B205="",0,IF(VALUE(LEFT(B205,1))&gt;3,VLOOKUP(VALUE(B205),PROYECCIONES!B:D,3,FALSE),0)),1 + COUNTIF($A$2:A204,"&gt;0"))</f>
        <v>0</v>
      </c>
    </row>
    <row r="206" spans="1:7">
      <c r="A206">
        <f>IFERROR(IF(B206="",0,IF(VALUE(LEFT(B206,1))&gt;3,VLOOKUP(VALUE(B206),PROYECCIONES!B:D,3,FALSE),0)),1 + COUNTIF($A$2:A205,"&gt;0"))</f>
        <v>0</v>
      </c>
    </row>
    <row r="207" spans="1:7">
      <c r="A207">
        <f>IFERROR(IF(B207="",0,IF(VALUE(LEFT(B207,1))&gt;3,VLOOKUP(VALUE(B207),PROYECCIONES!B:D,3,FALSE),0)),1 + COUNTIF($A$2:A206,"&gt;0"))</f>
        <v>0</v>
      </c>
    </row>
    <row r="208" spans="1:7">
      <c r="A208">
        <f>IFERROR(IF(B208="",0,IF(VALUE(LEFT(B208,1))&gt;3,VLOOKUP(VALUE(B208),PROYECCIONES!B:D,3,FALSE),0)),1 + COUNTIF($A$2:A207,"&gt;0"))</f>
        <v>0</v>
      </c>
    </row>
    <row r="209" spans="1:1">
      <c r="A209">
        <f>IFERROR(IF(B209="",0,IF(VALUE(LEFT(B209,1))&gt;3,VLOOKUP(VALUE(B209),PROYECCIONES!B:D,3,FALSE),0)),1 + COUNTIF($A$2:A208,"&gt;0"))</f>
        <v>0</v>
      </c>
    </row>
    <row r="210" spans="1:1">
      <c r="A210">
        <f>IFERROR(IF(B210="",0,IF(VALUE(LEFT(B210,1))&gt;3,VLOOKUP(VALUE(B210),PROYECCIONES!B:D,3,FALSE),0)),1 + COUNTIF($A$2:A209,"&gt;0"))</f>
        <v>0</v>
      </c>
    </row>
    <row r="211" spans="1:1">
      <c r="A211">
        <f>IFERROR(IF(B211="",0,IF(VALUE(LEFT(B211,1))&gt;3,VLOOKUP(VALUE(B211),PROYECCIONES!B:D,3,FALSE),0)),1 + COUNTIF($A$2:A210,"&gt;0"))</f>
        <v>0</v>
      </c>
    </row>
    <row r="212" spans="1:1">
      <c r="A212">
        <f>IFERROR(IF(B212="",0,IF(VALUE(LEFT(B212,1))&gt;3,VLOOKUP(VALUE(B212),PROYECCIONES!B:D,3,FALSE),0)),1 + COUNTIF($A$2:A211,"&gt;0"))</f>
        <v>0</v>
      </c>
    </row>
    <row r="213" spans="1:1">
      <c r="A213">
        <f>IFERROR(IF(B213="",0,IF(VALUE(LEFT(B213,1))&gt;3,VLOOKUP(VALUE(B213),PROYECCIONES!B:D,3,FALSE),0)),1 + COUNTIF($A$2:A212,"&gt;0"))</f>
        <v>0</v>
      </c>
    </row>
    <row r="214" spans="1:1">
      <c r="A214">
        <f>IFERROR(IF(B214="",0,IF(VALUE(LEFT(B214,1))&gt;3,VLOOKUP(VALUE(B214),PROYECCIONES!B:D,3,FALSE),0)),1 + COUNTIF($A$2:A213,"&gt;0"))</f>
        <v>0</v>
      </c>
    </row>
    <row r="215" spans="1:1">
      <c r="A215">
        <f>IFERROR(IF(B215="",0,IF(VALUE(LEFT(B215,1))&gt;3,VLOOKUP(VALUE(B215),PROYECCIONES!B:D,3,FALSE),0)),1 + COUNTIF($A$2:A214,"&gt;0"))</f>
        <v>0</v>
      </c>
    </row>
    <row r="216" spans="1:1">
      <c r="A216">
        <f>IFERROR(IF(B216="",0,IF(VALUE(LEFT(B216,1))&gt;3,VLOOKUP(VALUE(B216),PROYECCIONES!B:D,3,FALSE),0)),1 + COUNTIF($A$2:A215,"&gt;0"))</f>
        <v>0</v>
      </c>
    </row>
    <row r="217" spans="1:1">
      <c r="A217">
        <f>IFERROR(IF(B217="",0,IF(VALUE(LEFT(B217,1))&gt;3,VLOOKUP(VALUE(B217),PROYECCIONES!B:D,3,FALSE),0)),1 + COUNTIF($A$2:A216,"&gt;0"))</f>
        <v>0</v>
      </c>
    </row>
    <row r="218" spans="1:1">
      <c r="A218">
        <f>IFERROR(IF(B218="",0,IF(VALUE(LEFT(B218,1))&gt;3,VLOOKUP(VALUE(B218),PROYECCIONES!B:D,3,FALSE),0)),1 + COUNTIF($A$2:A217,"&gt;0"))</f>
        <v>0</v>
      </c>
    </row>
    <row r="219" spans="1:1">
      <c r="A219">
        <f>IFERROR(IF(B219="",0,IF(VALUE(LEFT(B219,1))&gt;3,VLOOKUP(VALUE(B219),PROYECCIONES!B:D,3,FALSE),0)),1 + COUNTIF($A$2:A218,"&gt;0"))</f>
        <v>0</v>
      </c>
    </row>
    <row r="220" spans="1:1">
      <c r="A220">
        <f>IFERROR(IF(B220="",0,IF(VALUE(LEFT(B220,1))&gt;3,VLOOKUP(VALUE(B220),PROYECCIONES!B:D,3,FALSE),0)),1 + COUNTIF($A$2:A219,"&gt;0"))</f>
        <v>0</v>
      </c>
    </row>
    <row r="221" spans="1:1">
      <c r="A221">
        <f>IFERROR(IF(B221="",0,IF(VALUE(LEFT(B221,1))&gt;3,VLOOKUP(VALUE(B221),PROYECCIONES!B:D,3,FALSE),0)),1 + COUNTIF($A$2:A220,"&gt;0"))</f>
        <v>0</v>
      </c>
    </row>
    <row r="222" spans="1:1">
      <c r="A222">
        <f>IFERROR(IF(B222="",0,IF(VALUE(LEFT(B222,1))&gt;3,VLOOKUP(VALUE(B222),PROYECCIONES!B:D,3,FALSE),0)),1 + COUNTIF($A$2:A221,"&gt;0"))</f>
        <v>0</v>
      </c>
    </row>
    <row r="223" spans="1:1">
      <c r="A223">
        <f>IFERROR(IF(B223="",0,IF(VALUE(LEFT(B223,1))&gt;3,VLOOKUP(VALUE(B223),PROYECCIONES!B:D,3,FALSE),0)),1 + COUNTIF($A$2:A222,"&gt;0"))</f>
        <v>0</v>
      </c>
    </row>
    <row r="224" spans="1:1">
      <c r="A224">
        <f>IFERROR(IF(B224="",0,IF(VALUE(LEFT(B224,1))&gt;3,VLOOKUP(VALUE(B224),PROYECCIONES!B:D,3,FALSE),0)),1 + COUNTIF($A$2:A223,"&gt;0"))</f>
        <v>0</v>
      </c>
    </row>
    <row r="225" spans="1:1">
      <c r="A225">
        <f>IFERROR(IF(B225="",0,IF(VALUE(LEFT(B225,1))&gt;3,VLOOKUP(VALUE(B225),PROYECCIONES!B:D,3,FALSE),0)),1 + COUNTIF($A$2:A224,"&gt;0"))</f>
        <v>0</v>
      </c>
    </row>
    <row r="226" spans="1:1">
      <c r="A226">
        <f>IFERROR(IF(B226="",0,IF(VALUE(LEFT(B226,1))&gt;3,VLOOKUP(VALUE(B226),PROYECCIONES!B:D,3,FALSE),0)),1 + COUNTIF($A$2:A225,"&gt;0"))</f>
        <v>0</v>
      </c>
    </row>
    <row r="227" spans="1:1">
      <c r="A227">
        <f>IFERROR(IF(B227="",0,IF(VALUE(LEFT(B227,1))&gt;3,VLOOKUP(VALUE(B227),PROYECCIONES!B:D,3,FALSE),0)),1 + COUNTIF($A$2:A226,"&gt;0"))</f>
        <v>0</v>
      </c>
    </row>
    <row r="228" spans="1:1">
      <c r="A228">
        <f>IFERROR(IF(B228="",0,IF(VALUE(LEFT(B228,1))&gt;3,VLOOKUP(VALUE(B228),PROYECCIONES!B:D,3,FALSE),0)),1 + COUNTIF($A$2:A227,"&gt;0"))</f>
        <v>0</v>
      </c>
    </row>
    <row r="229" spans="1:1">
      <c r="A229">
        <f>IFERROR(IF(B229="",0,IF(VALUE(LEFT(B229,1))&gt;3,VLOOKUP(VALUE(B229),PROYECCIONES!B:D,3,FALSE),0)),1 + COUNTIF($A$2:A228,"&gt;0"))</f>
        <v>0</v>
      </c>
    </row>
    <row r="230" spans="1:1">
      <c r="A230">
        <f>IFERROR(IF(B230="",0,IF(VALUE(LEFT(B230,1))&gt;3,VLOOKUP(VALUE(B230),PROYECCIONES!B:D,3,FALSE),0)),1 + COUNTIF($A$2:A229,"&gt;0"))</f>
        <v>0</v>
      </c>
    </row>
    <row r="231" spans="1:1">
      <c r="A231">
        <f>IFERROR(IF(B231="",0,IF(VALUE(LEFT(B231,1))&gt;3,VLOOKUP(VALUE(B231),PROYECCIONES!B:D,3,FALSE),0)),1 + COUNTIF($A$2:A230,"&gt;0"))</f>
        <v>0</v>
      </c>
    </row>
    <row r="232" spans="1:1">
      <c r="A232">
        <f>IFERROR(IF(B232="",0,IF(VALUE(LEFT(B232,1))&gt;3,VLOOKUP(VALUE(B232),PROYECCIONES!B:D,3,FALSE),0)),1 + COUNTIF($A$2:A231,"&gt;0"))</f>
        <v>0</v>
      </c>
    </row>
    <row r="233" spans="1:1">
      <c r="A233">
        <f>IFERROR(IF(B233="",0,IF(VALUE(LEFT(B233,1))&gt;3,VLOOKUP(VALUE(B233),PROYECCIONES!B:D,3,FALSE),0)),1 + COUNTIF($A$2:A232,"&gt;0"))</f>
        <v>0</v>
      </c>
    </row>
    <row r="234" spans="1:1">
      <c r="A234">
        <f>IFERROR(IF(B234="",0,IF(VALUE(LEFT(B234,1))&gt;3,VLOOKUP(VALUE(B234),PROYECCIONES!B:D,3,FALSE),0)),1 + COUNTIF($A$2:A233,"&gt;0"))</f>
        <v>0</v>
      </c>
    </row>
    <row r="235" spans="1:1">
      <c r="A235">
        <f>IFERROR(IF(B235="",0,IF(VALUE(LEFT(B235,1))&gt;3,VLOOKUP(VALUE(B235),PROYECCIONES!B:D,3,FALSE),0)),1 + COUNTIF($A$2:A234,"&gt;0"))</f>
        <v>0</v>
      </c>
    </row>
    <row r="236" spans="1:1">
      <c r="A236">
        <f>IFERROR(IF(B236="",0,IF(VALUE(LEFT(B236,1))&gt;3,VLOOKUP(VALUE(B236),PROYECCIONES!B:D,3,FALSE),0)),1 + COUNTIF($A$2:A235,"&gt;0"))</f>
        <v>0</v>
      </c>
    </row>
    <row r="237" spans="1:1">
      <c r="A237">
        <f>IFERROR(IF(B237="",0,IF(VALUE(LEFT(B237,1))&gt;3,VLOOKUP(VALUE(B237),PROYECCIONES!B:D,3,FALSE),0)),1 + COUNTIF($A$2:A236,"&gt;0"))</f>
        <v>0</v>
      </c>
    </row>
    <row r="238" spans="1:1">
      <c r="A238">
        <f>IFERROR(IF(B238="",0,IF(VALUE(LEFT(B238,1))&gt;3,VLOOKUP(VALUE(B238),PROYECCIONES!B:D,3,FALSE),0)),1 + COUNTIF($A$2:A237,"&gt;0"))</f>
        <v>0</v>
      </c>
    </row>
    <row r="239" spans="1:1">
      <c r="A239">
        <f>IFERROR(IF(B239="",0,IF(VALUE(LEFT(B239,1))&gt;3,VLOOKUP(VALUE(B239),PROYECCIONES!B:D,3,FALSE),0)),1 + COUNTIF($A$2:A238,"&gt;0"))</f>
        <v>0</v>
      </c>
    </row>
    <row r="240" spans="1:1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autoFilter ref="A2:I300" xr:uid="{EC1BB005-C061-4BB9-888B-C42BFA3E17A1}"/>
  <mergeCells count="4">
    <mergeCell ref="B1:C1"/>
    <mergeCell ref="D1:D2"/>
    <mergeCell ref="E1:F1"/>
    <mergeCell ref="G1:G2"/>
  </mergeCells>
  <conditionalFormatting sqref="B196:B1048576">
    <cfRule type="expression" dxfId="13" priority="2">
      <formula>$A196="No Agregada"</formula>
    </cfRule>
  </conditionalFormatting>
  <conditionalFormatting sqref="H3:H300">
    <cfRule type="expression" dxfId="12" priority="1">
      <formula>A3&lt;&gt;0</formula>
    </cfRule>
  </conditionalFormatting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FD66-972B-452D-884E-D2706D0A8342}">
  <sheetPr codeName="Hoja24"/>
  <dimension ref="A1:M300"/>
  <sheetViews>
    <sheetView workbookViewId="0">
      <pane ySplit="2" topLeftCell="A3" activePane="bottomLeft" state="frozen"/>
      <selection activeCell="R14" sqref="R14"/>
      <selection pane="bottomLeft" activeCell="R14" sqref="R14"/>
    </sheetView>
  </sheetViews>
  <sheetFormatPr baseColWidth="10" defaultRowHeight="15"/>
  <cols>
    <col min="1" max="1" width="22.140625" hidden="1" customWidth="1"/>
    <col min="2" max="2" width="8.85546875" customWidth="1"/>
    <col min="3" max="3" width="29.7109375" customWidth="1"/>
    <col min="4" max="7" width="12.5703125" style="54" bestFit="1" customWidth="1"/>
    <col min="9" max="11" width="11.42578125" hidden="1" customWidth="1"/>
    <col min="12" max="12" width="5.7109375" hidden="1" customWidth="1"/>
    <col min="13" max="13" width="11.42578125" hidden="1" customWidth="1"/>
  </cols>
  <sheetData>
    <row r="1" spans="1:13">
      <c r="B1" s="284" t="s">
        <v>94</v>
      </c>
      <c r="C1" s="285"/>
      <c r="D1" s="286" t="s">
        <v>265</v>
      </c>
      <c r="E1" s="288" t="s">
        <v>266</v>
      </c>
      <c r="F1" s="289"/>
      <c r="G1" s="286" t="s">
        <v>267</v>
      </c>
    </row>
    <row r="2" spans="1:13">
      <c r="B2" s="51" t="s">
        <v>268</v>
      </c>
      <c r="C2" s="51" t="s">
        <v>269</v>
      </c>
      <c r="D2" s="287"/>
      <c r="E2" s="65" t="s">
        <v>270</v>
      </c>
      <c r="F2" s="65" t="s">
        <v>271</v>
      </c>
      <c r="G2" s="287"/>
    </row>
    <row r="3" spans="1:13">
      <c r="A3">
        <f>IFERROR(IF(B3="",0,IF(VALUE(LEFT(B3,1))&gt;3,VLOOKUP(VALUE(B3),PROYECCIONES!B:D,3,FALSE),0)),1 + COUNTIF($A$2:A2,"&gt;0"))</f>
        <v>0</v>
      </c>
      <c r="B3" s="52" t="s">
        <v>358</v>
      </c>
      <c r="C3" s="52" t="s">
        <v>359</v>
      </c>
      <c r="D3" s="53">
        <v>3385</v>
      </c>
      <c r="E3" s="53">
        <v>1417915</v>
      </c>
      <c r="F3" s="53">
        <v>1183900</v>
      </c>
      <c r="G3" s="53">
        <v>237400</v>
      </c>
      <c r="I3">
        <f>COUNTIF(A3:A300,"&gt;0")</f>
        <v>0</v>
      </c>
      <c r="J3" t="s">
        <v>3</v>
      </c>
      <c r="K3" t="s">
        <v>223</v>
      </c>
      <c r="L3" t="s">
        <v>224</v>
      </c>
    </row>
    <row r="4" spans="1:13">
      <c r="A4">
        <f>IFERROR(IF(B4="",0,IF(VALUE(LEFT(B4,1))&gt;3,VLOOKUP(VALUE(B4),PROYECCIONES!B:D,3,FALSE),0)),1 + COUNTIF($A$2:A3,"&gt;0"))</f>
        <v>0</v>
      </c>
      <c r="B4" s="52" t="s">
        <v>272</v>
      </c>
      <c r="C4" s="52" t="s">
        <v>468</v>
      </c>
      <c r="D4" s="53">
        <v>3602229.1400008202</v>
      </c>
      <c r="E4" s="53">
        <v>169447084.47</v>
      </c>
      <c r="F4" s="53">
        <v>163434288.71000001</v>
      </c>
      <c r="G4" s="53">
        <v>9615024.9000005703</v>
      </c>
      <c r="I4" s="123">
        <v>1</v>
      </c>
      <c r="J4" t="str">
        <f>IFERROR(VLOOKUP(I4,'Balance a Mar'!$A$3:$C$300,2,FALSE),"")</f>
        <v/>
      </c>
      <c r="K4" t="str">
        <f>IFERROR(VLOOKUP(I4,'Balance a Mar'!$A$3:$C$300,3,FALSE),"")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</row>
    <row r="5" spans="1:13">
      <c r="A5">
        <f>IFERROR(IF(B5="",0,IF(VALUE(LEFT(B5,1))&gt;3,VLOOKUP(VALUE(B5),PROYECCIONES!B:D,3,FALSE),0)),1 + COUNTIF($A$2:A4,"&gt;0"))</f>
        <v>0</v>
      </c>
      <c r="B5" s="52" t="s">
        <v>273</v>
      </c>
      <c r="C5" s="52" t="s">
        <v>469</v>
      </c>
      <c r="D5" s="53">
        <v>2038.61000000685</v>
      </c>
      <c r="E5" s="53">
        <v>0</v>
      </c>
      <c r="F5" s="53">
        <v>0</v>
      </c>
      <c r="G5" s="53">
        <v>2038.61000000685</v>
      </c>
      <c r="I5" s="123">
        <v>2</v>
      </c>
      <c r="J5" t="str">
        <f>IFERROR(VLOOKUP(I5,'Balance a Mar'!$A$3:$C$300,2,FALSE),"")</f>
        <v/>
      </c>
      <c r="K5" t="str">
        <f>IFERROR(VLOOKUP(I5,'Balance a Mar'!$A$3:$C$300,3,FALSE),"")</f>
        <v/>
      </c>
      <c r="L5" t="str">
        <f>IFERROR(IF(AND(VALUE(LEFT(J5,1))&gt;=6,VALUE(LEFT(J5,1))&lt;=7),_xlfn.XMATCH(VALUE(J5),PROYECCIONES!$B$1:$B$38,-1,1),_xlfn.XMATCH(VALUE(J5),PROYECCIONES!$B$1:$B$333,-1,1)),"")</f>
        <v/>
      </c>
      <c r="M5">
        <v>0</v>
      </c>
    </row>
    <row r="6" spans="1:13">
      <c r="A6">
        <f>IFERROR(IF(B6="",0,IF(VALUE(LEFT(B6,1))&gt;3,VLOOKUP(VALUE(B6),PROYECCIONES!B:D,3,FALSE),0)),1 + COUNTIF($A$2:A5,"&gt;0"))</f>
        <v>0</v>
      </c>
      <c r="B6" s="52" t="s">
        <v>418</v>
      </c>
      <c r="C6" s="52" t="s">
        <v>470</v>
      </c>
      <c r="D6" s="53">
        <v>30748859.73</v>
      </c>
      <c r="E6" s="53">
        <v>42675850</v>
      </c>
      <c r="F6" s="53">
        <v>48130647.810000002</v>
      </c>
      <c r="G6" s="53">
        <v>25294061.920000002</v>
      </c>
      <c r="I6" s="123">
        <v>3</v>
      </c>
      <c r="J6" t="str">
        <f>IFERROR(VLOOKUP(I6,'Balance a Mar'!$A$3:$C$300,2,FALSE),"")</f>
        <v/>
      </c>
      <c r="K6" t="str">
        <f>IFERROR(VLOOKUP(I6,'Balance a Mar'!$A$3:$C$300,3,FALSE),"")</f>
        <v/>
      </c>
      <c r="L6" t="str">
        <f>IFERROR(IF(AND(VALUE(LEFT(J6,1))&gt;=6,VALUE(LEFT(J6,1))&lt;=7),_xlfn.XMATCH(VALUE(J6),PROYECCIONES!$B$1:$B$38,-1,1),_xlfn.XMATCH(VALUE(J6),PROYECCIONES!$B$1:$B$333,-1,1)),"")</f>
        <v/>
      </c>
    </row>
    <row r="7" spans="1:13">
      <c r="A7">
        <f>IFERROR(IF(B7="",0,IF(VALUE(LEFT(B7,1))&gt;3,VLOOKUP(VALUE(B7),PROYECCIONES!B:D,3,FALSE),0)),1 + COUNTIF($A$2:A6,"&gt;0"))</f>
        <v>0</v>
      </c>
      <c r="B7" s="52" t="s">
        <v>118</v>
      </c>
      <c r="C7" s="52" t="s">
        <v>225</v>
      </c>
      <c r="D7" s="53">
        <v>38903066.089999899</v>
      </c>
      <c r="E7" s="53">
        <v>180068363.91</v>
      </c>
      <c r="F7" s="53">
        <v>204404417</v>
      </c>
      <c r="G7" s="53">
        <v>14567013</v>
      </c>
      <c r="I7" s="123">
        <v>4</v>
      </c>
      <c r="J7" t="str">
        <f>IFERROR(VLOOKUP(I7,'Balance a Mar'!$A$3:$C$300,2,FALSE),"")</f>
        <v/>
      </c>
      <c r="K7" t="str">
        <f>IFERROR(VLOOKUP(I7,'Balance a Mar'!$A$3:$C$300,3,FALSE),"")</f>
        <v/>
      </c>
      <c r="L7" t="str">
        <f>IFERROR(IF(AND(VALUE(LEFT(J7,1))&gt;=6,VALUE(LEFT(J7,1))&lt;=7),_xlfn.XMATCH(VALUE(J7),PROYECCIONES!$B$1:$B$38,-1,1),_xlfn.XMATCH(VALUE(J7),PROYECCIONES!$B$1:$B$333,-1,1)),"")</f>
        <v/>
      </c>
    </row>
    <row r="8" spans="1:13">
      <c r="A8">
        <f>IFERROR(IF(B8="",0,IF(VALUE(LEFT(B8,1))&gt;3,VLOOKUP(VALUE(B8),PROYECCIONES!B:D,3,FALSE),0)),1 + COUNTIF($A$2:A7,"&gt;0"))</f>
        <v>0</v>
      </c>
      <c r="B8" s="52" t="s">
        <v>274</v>
      </c>
      <c r="C8" s="52" t="s">
        <v>226</v>
      </c>
      <c r="D8" s="53">
        <v>239052845.71000001</v>
      </c>
      <c r="E8" s="53">
        <v>34711463.579999998</v>
      </c>
      <c r="F8" s="53">
        <v>16668163.68</v>
      </c>
      <c r="G8" s="53">
        <v>257096145.61000001</v>
      </c>
      <c r="I8" s="123">
        <v>5</v>
      </c>
      <c r="J8" t="str">
        <f>IFERROR(VLOOKUP(I8,'Balance a Mar'!$A$3:$C$300,2,FALSE),"")</f>
        <v/>
      </c>
      <c r="K8" t="str">
        <f>IFERROR(VLOOKUP(I8,'Balance a Mar'!$A$3:$C$300,3,FALSE),"")</f>
        <v/>
      </c>
      <c r="L8" t="str">
        <f>IFERROR(IF(AND(VALUE(LEFT(J8,1))&gt;=6,VALUE(LEFT(J8,1))&lt;=7),_xlfn.XMATCH(VALUE(J8),PROYECCIONES!$B$1:$B$38,-1,1),_xlfn.XMATCH(VALUE(J8),PROYECCIONES!$B$1:$B$333,-1,1)),"")</f>
        <v/>
      </c>
    </row>
    <row r="9" spans="1:13">
      <c r="A9">
        <f>IFERROR(IF(B9="",0,IF(VALUE(LEFT(B9,1))&gt;3,VLOOKUP(VALUE(B9),PROYECCIONES!B:D,3,FALSE),0)),1 + COUNTIF($A$2:A8,"&gt;0"))</f>
        <v>0</v>
      </c>
      <c r="B9" s="52" t="s">
        <v>275</v>
      </c>
      <c r="C9" s="52" t="s">
        <v>227</v>
      </c>
      <c r="D9" s="53">
        <v>14200000</v>
      </c>
      <c r="E9" s="53">
        <v>2100000</v>
      </c>
      <c r="F9" s="53">
        <v>0</v>
      </c>
      <c r="G9" s="53">
        <v>16300000</v>
      </c>
      <c r="I9" s="123">
        <v>6</v>
      </c>
      <c r="J9" t="str">
        <f>IFERROR(VLOOKUP(I9,'Balance a Mar'!$A$3:$C$300,2,FALSE),"")</f>
        <v/>
      </c>
      <c r="K9" t="str">
        <f>IFERROR(VLOOKUP(I9,'Balance a Mar'!$A$3:$C$300,3,FALSE),"")</f>
        <v/>
      </c>
      <c r="L9" t="str">
        <f>IFERROR(IF(AND(VALUE(LEFT(J9,1))&gt;=6,VALUE(LEFT(J9,1))&lt;=7),_xlfn.XMATCH(VALUE(J9),PROYECCIONES!$B$1:$B$38,-1,1),_xlfn.XMATCH(VALUE(J9),PROYECCIONES!$B$1:$B$333,-1,1)),"")</f>
        <v/>
      </c>
    </row>
    <row r="10" spans="1:13">
      <c r="A10">
        <f>IFERROR(IF(B10="",0,IF(VALUE(LEFT(B10,1))&gt;3,VLOOKUP(VALUE(B10),PROYECCIONES!B:D,3,FALSE),0)),1 + COUNTIF($A$2:A9,"&gt;0"))</f>
        <v>0</v>
      </c>
      <c r="B10" s="52" t="s">
        <v>276</v>
      </c>
      <c r="C10" s="52" t="s">
        <v>228</v>
      </c>
      <c r="D10" s="53">
        <v>35066662</v>
      </c>
      <c r="E10" s="53">
        <v>2000008</v>
      </c>
      <c r="F10" s="53">
        <v>1000000</v>
      </c>
      <c r="G10" s="53">
        <v>36066670</v>
      </c>
      <c r="I10" s="123">
        <v>7</v>
      </c>
      <c r="J10" t="str">
        <f>IFERROR(VLOOKUP(I10,'Balance a Mar'!$A$3:$C$300,2,FALSE),"")</f>
        <v/>
      </c>
      <c r="K10" t="str">
        <f>IFERROR(VLOOKUP(I10,'Balance a Mar'!$A$3:$C$300,3,FALSE),"")</f>
        <v/>
      </c>
      <c r="L10" t="str">
        <f>IFERROR(IF(AND(VALUE(LEFT(J10,1))&gt;=6,VALUE(LEFT(J10,1))&lt;=7),_xlfn.XMATCH(VALUE(J10),PROYECCIONES!$B$1:$B$38,-1,1),_xlfn.XMATCH(VALUE(J10),PROYECCIONES!$B$1:$B$333,-1,1)),"")</f>
        <v/>
      </c>
    </row>
    <row r="11" spans="1:13">
      <c r="A11">
        <f>IFERROR(IF(B11="",0,IF(VALUE(LEFT(B11,1))&gt;3,VLOOKUP(VALUE(B11),PROYECCIONES!B:D,3,FALSE),0)),1 + COUNTIF($A$2:A10,"&gt;0"))</f>
        <v>0</v>
      </c>
      <c r="B11" s="52" t="s">
        <v>277</v>
      </c>
      <c r="C11" s="52" t="s">
        <v>229</v>
      </c>
      <c r="D11" s="53">
        <v>0</v>
      </c>
      <c r="E11" s="53">
        <v>11933498</v>
      </c>
      <c r="F11" s="53">
        <v>6359698</v>
      </c>
      <c r="G11" s="53">
        <v>5573800</v>
      </c>
      <c r="I11" s="123">
        <v>8</v>
      </c>
      <c r="J11" t="str">
        <f>IFERROR(VLOOKUP(I11,'Balance a Mar'!$A$3:$C$300,2,FALSE),"")</f>
        <v/>
      </c>
      <c r="K11" t="str">
        <f>IFERROR(VLOOKUP(I11,'Balance a Mar'!$A$3:$C$300,3,FALSE),"")</f>
        <v/>
      </c>
      <c r="L11" t="str">
        <f>IFERROR(IF(AND(VALUE(LEFT(J11,1))&gt;=6,VALUE(LEFT(J11,1))&lt;=7),_xlfn.XMATCH(VALUE(J11),PROYECCIONES!$B$1:$B$38,-1,1),_xlfn.XMATCH(VALUE(J11),PROYECCIONES!$B$1:$B$333,-1,1)),"")</f>
        <v/>
      </c>
    </row>
    <row r="12" spans="1:13">
      <c r="A12">
        <f>IFERROR(IF(B12="",0,IF(VALUE(LEFT(B12,1))&gt;3,VLOOKUP(VALUE(B12),PROYECCIONES!B:D,3,FALSE),0)),1 + COUNTIF($A$2:A11,"&gt;0"))</f>
        <v>0</v>
      </c>
      <c r="B12" s="52" t="s">
        <v>278</v>
      </c>
      <c r="C12" s="52" t="s">
        <v>230</v>
      </c>
      <c r="D12" s="53">
        <v>55910253.5</v>
      </c>
      <c r="E12" s="53">
        <v>16536352</v>
      </c>
      <c r="F12" s="53">
        <v>396000</v>
      </c>
      <c r="G12" s="53">
        <v>72050605.5</v>
      </c>
      <c r="I12" s="123">
        <v>9</v>
      </c>
      <c r="J12" t="str">
        <f>IFERROR(VLOOKUP(I12,'Balance a Mar'!$A$3:$C$300,2,FALSE),"")</f>
        <v/>
      </c>
      <c r="K12" t="str">
        <f>IFERROR(VLOOKUP(I12,'Balance a Mar'!$A$3:$C$300,3,FALSE),"")</f>
        <v/>
      </c>
      <c r="L12" t="str">
        <f>IFERROR(IF(AND(VALUE(LEFT(J12,1))&gt;=6,VALUE(LEFT(J12,1))&lt;=7),_xlfn.XMATCH(VALUE(J12),PROYECCIONES!$B$1:$B$38,-1,1),_xlfn.XMATCH(VALUE(J12),PROYECCIONES!$B$1:$B$333,-1,1)),"")</f>
        <v/>
      </c>
    </row>
    <row r="13" spans="1:13">
      <c r="A13">
        <f>IFERROR(IF(B13="",0,IF(VALUE(LEFT(B13,1))&gt;3,VLOOKUP(VALUE(B13),PROYECCIONES!B:D,3,FALSE),0)),1 + COUNTIF($A$2:A12,"&gt;0"))</f>
        <v>0</v>
      </c>
      <c r="B13" s="52" t="s">
        <v>425</v>
      </c>
      <c r="C13" s="52" t="s">
        <v>426</v>
      </c>
      <c r="D13" s="53">
        <v>230000</v>
      </c>
      <c r="E13" s="53">
        <v>0</v>
      </c>
      <c r="F13" s="53">
        <v>0</v>
      </c>
      <c r="G13" s="53">
        <v>230000</v>
      </c>
      <c r="I13" s="123">
        <v>10</v>
      </c>
      <c r="J13" t="str">
        <f>IFERROR(VLOOKUP(I13,'Balance a Mar'!$A$3:$C$300,2,FALSE),"")</f>
        <v/>
      </c>
      <c r="K13" t="str">
        <f>IFERROR(VLOOKUP(I13,'Balance a Mar'!$A$3:$C$300,3,FALSE),"")</f>
        <v/>
      </c>
      <c r="L13" t="str">
        <f>IFERROR(IF(AND(VALUE(LEFT(J13,1))&gt;=6,VALUE(LEFT(J13,1))&lt;=7),_xlfn.XMATCH(VALUE(J13),PROYECCIONES!$B$1:$B$38,-1,1),_xlfn.XMATCH(VALUE(J13),PROYECCIONES!$B$1:$B$333,-1,1)),"")</f>
        <v/>
      </c>
    </row>
    <row r="14" spans="1:13">
      <c r="A14">
        <f>IFERROR(IF(B14="",0,IF(VALUE(LEFT(B14,1))&gt;3,VLOOKUP(VALUE(B14),PROYECCIONES!B:D,3,FALSE),0)),1 + COUNTIF($A$2:A13,"&gt;0"))</f>
        <v>0</v>
      </c>
      <c r="B14" s="52" t="s">
        <v>454</v>
      </c>
      <c r="C14" s="52" t="s">
        <v>455</v>
      </c>
      <c r="D14" s="53">
        <v>24000</v>
      </c>
      <c r="E14" s="53">
        <v>0</v>
      </c>
      <c r="F14" s="53">
        <v>0</v>
      </c>
      <c r="G14" s="53">
        <v>24000</v>
      </c>
      <c r="I14" s="123">
        <v>11</v>
      </c>
      <c r="J14" t="str">
        <f>IFERROR(VLOOKUP(I14,'Balance a Mar'!$A$3:$C$300,2,FALSE),"")</f>
        <v/>
      </c>
      <c r="K14" t="str">
        <f>IFERROR(VLOOKUP(I14,'Balance a Mar'!$A$3:$C$300,3,FALSE),"")</f>
        <v/>
      </c>
      <c r="L14" t="str">
        <f>IFERROR(IF(AND(VALUE(LEFT(J14,1))&gt;=6,VALUE(LEFT(J14,1))&lt;=7),_xlfn.XMATCH(VALUE(J14),PROYECCIONES!$B$1:$B$38,-1,1),_xlfn.XMATCH(VALUE(J14),PROYECCIONES!$B$1:$B$333,-1,1)),"")</f>
        <v/>
      </c>
    </row>
    <row r="15" spans="1:13">
      <c r="A15">
        <f>IFERROR(IF(B15="",0,IF(VALUE(LEFT(B15,1))&gt;3,VLOOKUP(VALUE(B15),PROYECCIONES!B:D,3,FALSE),0)),1 + COUNTIF($A$2:A14,"&gt;0"))</f>
        <v>0</v>
      </c>
      <c r="B15" s="52" t="s">
        <v>279</v>
      </c>
      <c r="C15" s="52" t="s">
        <v>231</v>
      </c>
      <c r="D15" s="53">
        <v>922339.449999996</v>
      </c>
      <c r="E15" s="53">
        <v>888656</v>
      </c>
      <c r="F15" s="53">
        <v>816136</v>
      </c>
      <c r="G15" s="53">
        <v>994859.449999996</v>
      </c>
      <c r="I15" s="123">
        <v>12</v>
      </c>
      <c r="J15" t="str">
        <f>IFERROR(VLOOKUP(I15,'Balance a Mar'!$A$3:$C$300,2,FALSE),"")</f>
        <v/>
      </c>
      <c r="K15" t="str">
        <f>IFERROR(VLOOKUP(I15,'Balance a Mar'!$A$3:$C$300,3,FALSE),"")</f>
        <v/>
      </c>
      <c r="L15" t="str">
        <f>IFERROR(IF(AND(VALUE(LEFT(J15,1))&gt;=6,VALUE(LEFT(J15,1))&lt;=7),_xlfn.XMATCH(VALUE(J15),PROYECCIONES!$B$1:$B$38,-1,1),_xlfn.XMATCH(VALUE(J15),PROYECCIONES!$B$1:$B$333,-1,1)),"")</f>
        <v/>
      </c>
    </row>
    <row r="16" spans="1:13">
      <c r="A16">
        <f>IFERROR(IF(B16="",0,IF(VALUE(LEFT(B16,1))&gt;3,VLOOKUP(VALUE(B16),PROYECCIONES!B:D,3,FALSE),0)),1 + COUNTIF($A$2:A15,"&gt;0"))</f>
        <v>0</v>
      </c>
      <c r="B16" s="52" t="s">
        <v>280</v>
      </c>
      <c r="C16" s="52" t="s">
        <v>232</v>
      </c>
      <c r="D16" s="53">
        <v>1595197.91</v>
      </c>
      <c r="E16" s="53">
        <v>284693</v>
      </c>
      <c r="F16" s="53">
        <v>0</v>
      </c>
      <c r="G16" s="53">
        <v>1879890.91</v>
      </c>
      <c r="I16" s="123">
        <v>13</v>
      </c>
      <c r="J16" t="str">
        <f>IFERROR(VLOOKUP(I16,'Balance a Mar'!$A$3:$C$300,2,FALSE),"")</f>
        <v/>
      </c>
      <c r="K16" t="str">
        <f>IFERROR(VLOOKUP(I16,'Balance a Mar'!$A$3:$C$300,3,FALSE),"")</f>
        <v/>
      </c>
      <c r="L16" t="str">
        <f>IFERROR(IF(AND(VALUE(LEFT(J16,1))&gt;=6,VALUE(LEFT(J16,1))&lt;=7),_xlfn.XMATCH(VALUE(J16),PROYECCIONES!$B$1:$B$38,-1,1),_xlfn.XMATCH(VALUE(J16),PROYECCIONES!$B$1:$B$333,-1,1)),"")</f>
        <v/>
      </c>
    </row>
    <row r="17" spans="1:12">
      <c r="A17">
        <f>IFERROR(IF(B17="",0,IF(VALUE(LEFT(B17,1))&gt;3,VLOOKUP(VALUE(B17),PROYECCIONES!B:D,3,FALSE),0)),1 + COUNTIF($A$2:A16,"&gt;0"))</f>
        <v>0</v>
      </c>
      <c r="B17" s="52" t="s">
        <v>281</v>
      </c>
      <c r="C17" s="52" t="s">
        <v>233</v>
      </c>
      <c r="D17" s="53">
        <v>0</v>
      </c>
      <c r="E17" s="53">
        <v>37080</v>
      </c>
      <c r="F17" s="53">
        <v>0</v>
      </c>
      <c r="G17" s="53">
        <v>37080</v>
      </c>
      <c r="I17" s="123">
        <v>14</v>
      </c>
      <c r="J17" t="str">
        <f>IFERROR(VLOOKUP(I17,'Balance a Mar'!$A$3:$C$300,2,FALSE),"")</f>
        <v/>
      </c>
      <c r="K17" t="str">
        <f>IFERROR(VLOOKUP(I17,'Balance a Mar'!$A$3:$C$300,3,FALSE),"")</f>
        <v/>
      </c>
      <c r="L17" t="str">
        <f>IFERROR(IF(AND(VALUE(LEFT(J17,1))&gt;=6,VALUE(LEFT(J17,1))&lt;=7),_xlfn.XMATCH(VALUE(J17),PROYECCIONES!$B$1:$B$38,-1,1),_xlfn.XMATCH(VALUE(J17),PROYECCIONES!$B$1:$B$333,-1,1)),"")</f>
        <v/>
      </c>
    </row>
    <row r="18" spans="1:12">
      <c r="A18">
        <f>IFERROR(IF(B18="",0,IF(VALUE(LEFT(B18,1))&gt;3,VLOOKUP(VALUE(B18),PROYECCIONES!B:D,3,FALSE),0)),1 + COUNTIF($A$2:A17,"&gt;0"))</f>
        <v>0</v>
      </c>
      <c r="B18" s="52" t="s">
        <v>405</v>
      </c>
      <c r="C18" s="52" t="s">
        <v>406</v>
      </c>
      <c r="D18" s="53">
        <v>0</v>
      </c>
      <c r="E18" s="53">
        <v>102300</v>
      </c>
      <c r="F18" s="53">
        <v>0</v>
      </c>
      <c r="G18" s="53">
        <v>102300</v>
      </c>
      <c r="I18" s="123">
        <v>15</v>
      </c>
      <c r="J18" t="str">
        <f>IFERROR(VLOOKUP(I18,'Balance a Mar'!$A$3:$C$300,2,FALSE),"")</f>
        <v/>
      </c>
      <c r="K18" t="str">
        <f>IFERROR(VLOOKUP(I18,'Balance a Mar'!$A$3:$C$300,3,FALSE),"")</f>
        <v/>
      </c>
      <c r="L18" t="str">
        <f>IFERROR(IF(AND(VALUE(LEFT(J18,1))&gt;=6,VALUE(LEFT(J18,1))&lt;=7),_xlfn.XMATCH(VALUE(J18),PROYECCIONES!$B$1:$B$38,-1,1),_xlfn.XMATCH(VALUE(J18),PROYECCIONES!$B$1:$B$333,-1,1)),"")</f>
        <v/>
      </c>
    </row>
    <row r="19" spans="1:12">
      <c r="A19">
        <f>IFERROR(IF(B19="",0,IF(VALUE(LEFT(B19,1))&gt;3,VLOOKUP(VALUE(B19),PROYECCIONES!B:D,3,FALSE),0)),1 + COUNTIF($A$2:A18,"&gt;0"))</f>
        <v>0</v>
      </c>
      <c r="B19" s="52" t="s">
        <v>427</v>
      </c>
      <c r="C19" s="52" t="s">
        <v>428</v>
      </c>
      <c r="D19" s="53">
        <v>251700</v>
      </c>
      <c r="E19" s="53">
        <v>35960</v>
      </c>
      <c r="F19" s="53">
        <v>0</v>
      </c>
      <c r="G19" s="53">
        <v>287660</v>
      </c>
    </row>
    <row r="20" spans="1:12">
      <c r="A20">
        <f>IFERROR(IF(B20="",0,IF(VALUE(LEFT(B20,1))&gt;3,VLOOKUP(VALUE(B20),PROYECCIONES!B:D,3,FALSE),0)),1 + COUNTIF($A$2:A19,"&gt;0"))</f>
        <v>0</v>
      </c>
      <c r="B20" s="52" t="s">
        <v>435</v>
      </c>
      <c r="C20" s="52" t="s">
        <v>436</v>
      </c>
      <c r="D20" s="53">
        <v>3625000</v>
      </c>
      <c r="E20" s="53">
        <v>0</v>
      </c>
      <c r="F20" s="53">
        <v>0</v>
      </c>
      <c r="G20" s="53">
        <v>3625000</v>
      </c>
    </row>
    <row r="21" spans="1:12">
      <c r="A21">
        <f>IFERROR(IF(B21="",0,IF(VALUE(LEFT(B21,1))&gt;3,VLOOKUP(VALUE(B21),PROYECCIONES!B:D,3,FALSE),0)),1 + COUNTIF($A$2:A20,"&gt;0"))</f>
        <v>0</v>
      </c>
      <c r="B21" s="52" t="s">
        <v>377</v>
      </c>
      <c r="C21" s="52" t="s">
        <v>373</v>
      </c>
      <c r="D21" s="53">
        <v>4742306</v>
      </c>
      <c r="E21" s="53">
        <v>1308241</v>
      </c>
      <c r="F21" s="53">
        <v>0</v>
      </c>
      <c r="G21" s="53">
        <v>6050547</v>
      </c>
    </row>
    <row r="22" spans="1:12">
      <c r="A22">
        <f>IFERROR(IF(B22="",0,IF(VALUE(LEFT(B22,1))&gt;3,VLOOKUP(VALUE(B22),PROYECCIONES!B:D,3,FALSE),0)),1 + COUNTIF($A$2:A21,"&gt;0"))</f>
        <v>0</v>
      </c>
      <c r="B22" s="52" t="s">
        <v>360</v>
      </c>
      <c r="C22" s="52" t="s">
        <v>361</v>
      </c>
      <c r="D22" s="53">
        <v>2530000</v>
      </c>
      <c r="E22" s="53">
        <v>660000</v>
      </c>
      <c r="F22" s="53">
        <v>0</v>
      </c>
      <c r="G22" s="53">
        <v>3190000</v>
      </c>
    </row>
    <row r="23" spans="1:12">
      <c r="A23">
        <f>IFERROR(IF(B23="",0,IF(VALUE(LEFT(B23,1))&gt;3,VLOOKUP(VALUE(B23),PROYECCIONES!B:D,3,FALSE),0)),1 + COUNTIF($A$2:A22,"&gt;0"))</f>
        <v>0</v>
      </c>
      <c r="B23" s="52" t="s">
        <v>282</v>
      </c>
      <c r="C23" s="52" t="s">
        <v>234</v>
      </c>
      <c r="D23" s="53">
        <v>43467544</v>
      </c>
      <c r="E23" s="53">
        <v>0</v>
      </c>
      <c r="F23" s="53">
        <v>0</v>
      </c>
      <c r="G23" s="53">
        <v>43467544</v>
      </c>
    </row>
    <row r="24" spans="1:12">
      <c r="A24">
        <f>IFERROR(IF(B24="",0,IF(VALUE(LEFT(B24,1))&gt;3,VLOOKUP(VALUE(B24),PROYECCIONES!B:D,3,FALSE),0)),1 + COUNTIF($A$2:A23,"&gt;0"))</f>
        <v>0</v>
      </c>
      <c r="B24" s="52" t="s">
        <v>471</v>
      </c>
      <c r="C24" s="52" t="s">
        <v>472</v>
      </c>
      <c r="D24" s="53">
        <v>0</v>
      </c>
      <c r="E24" s="53">
        <v>181000</v>
      </c>
      <c r="F24" s="53">
        <v>181000</v>
      </c>
      <c r="G24" s="53">
        <v>0</v>
      </c>
    </row>
    <row r="25" spans="1:12">
      <c r="A25">
        <f>IFERROR(IF(B25="",0,IF(VALUE(LEFT(B25,1))&gt;3,VLOOKUP(VALUE(B25),PROYECCIONES!B:D,3,FALSE),0)),1 + COUNTIF($A$2:A24,"&gt;0"))</f>
        <v>0</v>
      </c>
      <c r="B25" s="52" t="s">
        <v>283</v>
      </c>
      <c r="C25" s="52" t="s">
        <v>235</v>
      </c>
      <c r="D25" s="53">
        <v>31548323.850000001</v>
      </c>
      <c r="E25" s="53">
        <v>760300</v>
      </c>
      <c r="F25" s="53">
        <v>1960300</v>
      </c>
      <c r="G25" s="53">
        <v>30348323.850000001</v>
      </c>
    </row>
    <row r="26" spans="1:12">
      <c r="A26">
        <f>IFERROR(IF(B26="",0,IF(VALUE(LEFT(B26,1))&gt;3,VLOOKUP(VALUE(B26),PROYECCIONES!B:D,3,FALSE),0)),1 + COUNTIF($A$2:A25,"&gt;0"))</f>
        <v>0</v>
      </c>
      <c r="B26" s="52" t="s">
        <v>378</v>
      </c>
      <c r="C26" s="52" t="s">
        <v>379</v>
      </c>
      <c r="D26" s="53">
        <v>900000</v>
      </c>
      <c r="E26" s="53">
        <v>0</v>
      </c>
      <c r="F26" s="53">
        <v>300000</v>
      </c>
      <c r="G26" s="53">
        <v>600000</v>
      </c>
    </row>
    <row r="27" spans="1:12">
      <c r="A27">
        <f>IFERROR(IF(B27="",0,IF(VALUE(LEFT(B27,1))&gt;3,VLOOKUP(VALUE(B27),PROYECCIONES!B:D,3,FALSE),0)),1 + COUNTIF($A$2:A26,"&gt;0"))</f>
        <v>0</v>
      </c>
      <c r="B27" s="52" t="s">
        <v>284</v>
      </c>
      <c r="C27" s="52" t="s">
        <v>236</v>
      </c>
      <c r="D27" s="53">
        <v>50000</v>
      </c>
      <c r="E27" s="53">
        <v>231422.34</v>
      </c>
      <c r="F27" s="53">
        <v>96950</v>
      </c>
      <c r="G27" s="53">
        <v>184472.34</v>
      </c>
    </row>
    <row r="28" spans="1:12">
      <c r="A28">
        <f>IFERROR(IF(B28="",0,IF(VALUE(LEFT(B28,1))&gt;3,VLOOKUP(VALUE(B28),PROYECCIONES!B:D,3,FALSE),0)),1 + COUNTIF($A$2:A27,"&gt;0"))</f>
        <v>0</v>
      </c>
      <c r="B28" s="52" t="s">
        <v>285</v>
      </c>
      <c r="C28" s="52" t="s">
        <v>237</v>
      </c>
      <c r="D28" s="53">
        <v>18023845.800000001</v>
      </c>
      <c r="E28" s="53">
        <v>0</v>
      </c>
      <c r="F28" s="53">
        <v>0</v>
      </c>
      <c r="G28" s="53">
        <v>18023845.800000001</v>
      </c>
    </row>
    <row r="29" spans="1:12">
      <c r="A29">
        <f>IFERROR(IF(B29="",0,IF(VALUE(LEFT(B29,1))&gt;3,VLOOKUP(VALUE(B29),PROYECCIONES!B:D,3,FALSE),0)),1 + COUNTIF($A$2:A28,"&gt;0"))</f>
        <v>0</v>
      </c>
      <c r="B29" s="52" t="s">
        <v>286</v>
      </c>
      <c r="C29" s="52" t="s">
        <v>238</v>
      </c>
      <c r="D29" s="53">
        <v>61490000</v>
      </c>
      <c r="E29" s="53">
        <v>0</v>
      </c>
      <c r="F29" s="53">
        <v>0</v>
      </c>
      <c r="G29" s="53">
        <v>61490000</v>
      </c>
    </row>
    <row r="30" spans="1:12">
      <c r="A30">
        <f>IFERROR(IF(B30="",0,IF(VALUE(LEFT(B30,1))&gt;3,VLOOKUP(VALUE(B30),PROYECCIONES!B:D,3,FALSE),0)),1 + COUNTIF($A$2:A29,"&gt;0"))</f>
        <v>0</v>
      </c>
      <c r="B30" s="52" t="s">
        <v>287</v>
      </c>
      <c r="C30" s="52" t="s">
        <v>239</v>
      </c>
      <c r="D30" s="53">
        <v>-6028466.0099999998</v>
      </c>
      <c r="E30" s="53">
        <v>0</v>
      </c>
      <c r="F30" s="53">
        <v>634914.84</v>
      </c>
      <c r="G30" s="53">
        <v>-6663380.8499999996</v>
      </c>
    </row>
    <row r="31" spans="1:12">
      <c r="A31">
        <f>IFERROR(IF(B31="",0,IF(VALUE(LEFT(B31,1))&gt;3,VLOOKUP(VALUE(B31),PROYECCIONES!B:D,3,FALSE),0)),1 + COUNTIF($A$2:A30,"&gt;0"))</f>
        <v>0</v>
      </c>
      <c r="B31" s="52" t="s">
        <v>288</v>
      </c>
      <c r="C31" s="52" t="s">
        <v>240</v>
      </c>
      <c r="D31" s="53">
        <v>-1588491.73</v>
      </c>
      <c r="E31" s="53">
        <v>0</v>
      </c>
      <c r="F31" s="53">
        <v>1537250.01</v>
      </c>
      <c r="G31" s="53">
        <v>-3125741.74</v>
      </c>
    </row>
    <row r="32" spans="1:12">
      <c r="A32">
        <f>IFERROR(IF(B32="",0,IF(VALUE(LEFT(B32,1))&gt;3,VLOOKUP(VALUE(B32),PROYECCIONES!B:D,3,FALSE),0)),1 + COUNTIF($A$2:A31,"&gt;0"))</f>
        <v>0</v>
      </c>
      <c r="B32" s="52" t="s">
        <v>289</v>
      </c>
      <c r="C32" s="52" t="s">
        <v>241</v>
      </c>
      <c r="D32" s="53">
        <v>880262</v>
      </c>
      <c r="E32" s="53">
        <v>0</v>
      </c>
      <c r="F32" s="53">
        <v>0</v>
      </c>
      <c r="G32" s="53">
        <v>880262</v>
      </c>
    </row>
    <row r="33" spans="1:7">
      <c r="A33">
        <f>IFERROR(IF(B33="",0,IF(VALUE(LEFT(B33,1))&gt;3,VLOOKUP(VALUE(B33),PROYECCIONES!B:D,3,FALSE),0)),1 + COUNTIF($A$2:A32,"&gt;0"))</f>
        <v>0</v>
      </c>
      <c r="B33" s="52" t="s">
        <v>290</v>
      </c>
      <c r="C33" s="52" t="s">
        <v>242</v>
      </c>
      <c r="D33" s="53">
        <v>-880262</v>
      </c>
      <c r="E33" s="53">
        <v>0</v>
      </c>
      <c r="F33" s="53">
        <v>0</v>
      </c>
      <c r="G33" s="53">
        <v>-880262</v>
      </c>
    </row>
    <row r="34" spans="1:7">
      <c r="A34">
        <f>IFERROR(IF(B34="",0,IF(VALUE(LEFT(B34,1))&gt;3,VLOOKUP(VALUE(B34),PROYECCIONES!B:D,3,FALSE),0)),1 + COUNTIF($A$2:A33,"&gt;0"))</f>
        <v>0</v>
      </c>
      <c r="B34" s="52" t="s">
        <v>473</v>
      </c>
      <c r="C34" s="52" t="s">
        <v>474</v>
      </c>
      <c r="D34" s="53">
        <v>1653107</v>
      </c>
      <c r="E34" s="53">
        <v>0</v>
      </c>
      <c r="F34" s="53">
        <v>1653107</v>
      </c>
      <c r="G34" s="53">
        <v>0</v>
      </c>
    </row>
    <row r="35" spans="1:7">
      <c r="A35">
        <f>IFERROR(IF(B35="",0,IF(VALUE(LEFT(B35,1))&gt;3,VLOOKUP(VALUE(B35),PROYECCIONES!B:D,3,FALSE),0)),1 + COUNTIF($A$2:A34,"&gt;0"))</f>
        <v>0</v>
      </c>
      <c r="B35" s="52" t="s">
        <v>520</v>
      </c>
      <c r="C35" s="52" t="s">
        <v>229</v>
      </c>
      <c r="D35" s="53">
        <v>0</v>
      </c>
      <c r="E35" s="53">
        <v>640298</v>
      </c>
      <c r="F35" s="53">
        <v>310420</v>
      </c>
      <c r="G35" s="53">
        <v>329878</v>
      </c>
    </row>
    <row r="36" spans="1:7">
      <c r="A36">
        <f>IFERROR(IF(B36="",0,IF(VALUE(LEFT(B36,1))&gt;3,VLOOKUP(VALUE(B36),PROYECCIONES!B:D,3,FALSE),0)),1 + COUNTIF($A$2:A35,"&gt;0"))</f>
        <v>0</v>
      </c>
      <c r="B36" s="52" t="s">
        <v>380</v>
      </c>
      <c r="C36" s="52" t="s">
        <v>374</v>
      </c>
      <c r="D36" s="53">
        <v>-87720410.230000004</v>
      </c>
      <c r="E36" s="53">
        <v>1814657</v>
      </c>
      <c r="F36" s="53">
        <v>270777.77</v>
      </c>
      <c r="G36" s="53">
        <v>-86176531</v>
      </c>
    </row>
    <row r="37" spans="1:7">
      <c r="A37">
        <f>IFERROR(IF(B37="",0,IF(VALUE(LEFT(B37,1))&gt;3,VLOOKUP(VALUE(B37),PROYECCIONES!B:D,3,FALSE),0)),1 + COUNTIF($A$2:A36,"&gt;0"))</f>
        <v>0</v>
      </c>
      <c r="B37" s="52" t="s">
        <v>458</v>
      </c>
      <c r="C37" s="52" t="s">
        <v>459</v>
      </c>
      <c r="D37" s="53">
        <v>4.65661287307739E-10</v>
      </c>
      <c r="E37" s="53">
        <v>2312905</v>
      </c>
      <c r="F37" s="53">
        <v>2312905</v>
      </c>
      <c r="G37" s="53">
        <v>0</v>
      </c>
    </row>
    <row r="38" spans="1:7">
      <c r="A38">
        <f>IFERROR(IF(B38="",0,IF(VALUE(LEFT(B38,1))&gt;3,VLOOKUP(VALUE(B38),PROYECCIONES!B:D,3,FALSE),0)),1 + COUNTIF($A$2:A37,"&gt;0"))</f>
        <v>0</v>
      </c>
      <c r="B38" s="52" t="s">
        <v>291</v>
      </c>
      <c r="C38" s="52" t="s">
        <v>243</v>
      </c>
      <c r="D38" s="53">
        <v>-427500</v>
      </c>
      <c r="E38" s="53">
        <v>10118750</v>
      </c>
      <c r="F38" s="53">
        <v>9691250</v>
      </c>
      <c r="G38" s="53">
        <v>0</v>
      </c>
    </row>
    <row r="39" spans="1:7">
      <c r="A39">
        <f>IFERROR(IF(B39="",0,IF(VALUE(LEFT(B39,1))&gt;3,VLOOKUP(VALUE(B39),PROYECCIONES!B:D,3,FALSE),0)),1 + COUNTIF($A$2:A38,"&gt;0"))</f>
        <v>0</v>
      </c>
      <c r="B39" s="52" t="s">
        <v>292</v>
      </c>
      <c r="C39" s="52" t="s">
        <v>244</v>
      </c>
      <c r="D39" s="53">
        <v>0</v>
      </c>
      <c r="E39" s="53">
        <v>150000</v>
      </c>
      <c r="F39" s="53">
        <v>150000</v>
      </c>
      <c r="G39" s="53">
        <v>0</v>
      </c>
    </row>
    <row r="40" spans="1:7">
      <c r="A40">
        <f>IFERROR(IF(B40="",0,IF(VALUE(LEFT(B40,1))&gt;3,VLOOKUP(VALUE(B40),PROYECCIONES!B:D,3,FALSE),0)),1 + COUNTIF($A$2:A39,"&gt;0"))</f>
        <v>0</v>
      </c>
      <c r="B40" s="52" t="s">
        <v>293</v>
      </c>
      <c r="C40" s="52" t="s">
        <v>245</v>
      </c>
      <c r="D40" s="53">
        <v>0</v>
      </c>
      <c r="E40" s="53">
        <v>4402358</v>
      </c>
      <c r="F40" s="53">
        <v>4402358</v>
      </c>
      <c r="G40" s="53">
        <v>0</v>
      </c>
    </row>
    <row r="41" spans="1:7">
      <c r="A41">
        <f>IFERROR(IF(B41="",0,IF(VALUE(LEFT(B41,1))&gt;3,VLOOKUP(VALUE(B41),PROYECCIONES!B:D,3,FALSE),0)),1 + COUNTIF($A$2:A40,"&gt;0"))</f>
        <v>0</v>
      </c>
      <c r="B41" s="52" t="s">
        <v>294</v>
      </c>
      <c r="C41" s="52" t="s">
        <v>246</v>
      </c>
      <c r="D41" s="53">
        <v>-259026</v>
      </c>
      <c r="E41" s="53">
        <v>2604462.0099999998</v>
      </c>
      <c r="F41" s="53">
        <v>2345436.0099999998</v>
      </c>
      <c r="G41" s="53">
        <v>0</v>
      </c>
    </row>
    <row r="42" spans="1:7">
      <c r="A42">
        <f>IFERROR(IF(B42="",0,IF(VALUE(LEFT(B42,1))&gt;3,VLOOKUP(VALUE(B42),PROYECCIONES!B:D,3,FALSE),0)),1 + COUNTIF($A$2:A41,"&gt;0"))</f>
        <v>0</v>
      </c>
      <c r="B42" s="52" t="s">
        <v>460</v>
      </c>
      <c r="C42" s="52" t="s">
        <v>461</v>
      </c>
      <c r="D42" s="53">
        <v>0</v>
      </c>
      <c r="E42" s="53">
        <v>2490000</v>
      </c>
      <c r="F42" s="53">
        <v>2594370</v>
      </c>
      <c r="G42" s="53">
        <v>-104370</v>
      </c>
    </row>
    <row r="43" spans="1:7">
      <c r="A43">
        <f>IFERROR(IF(B43="",0,IF(VALUE(LEFT(B43,1))&gt;3,VLOOKUP(VALUE(B43),PROYECCIONES!B:D,3,FALSE),0)),1 + COUNTIF($A$2:A42,"&gt;0"))</f>
        <v>0</v>
      </c>
      <c r="B43" s="52" t="s">
        <v>407</v>
      </c>
      <c r="C43" s="52" t="s">
        <v>408</v>
      </c>
      <c r="D43" s="53">
        <v>0</v>
      </c>
      <c r="E43" s="53">
        <v>344180</v>
      </c>
      <c r="F43" s="53">
        <v>344180</v>
      </c>
      <c r="G43" s="53">
        <v>0</v>
      </c>
    </row>
    <row r="44" spans="1:7">
      <c r="A44">
        <f>IFERROR(IF(B44="",0,IF(VALUE(LEFT(B44,1))&gt;3,VLOOKUP(VALUE(B44),PROYECCIONES!B:D,3,FALSE),0)),1 + COUNTIF($A$2:A43,"&gt;0"))</f>
        <v>0</v>
      </c>
      <c r="B44" s="52" t="s">
        <v>410</v>
      </c>
      <c r="C44" s="52" t="s">
        <v>411</v>
      </c>
      <c r="D44" s="53">
        <v>0</v>
      </c>
      <c r="E44" s="53">
        <v>115242</v>
      </c>
      <c r="F44" s="53">
        <v>115242</v>
      </c>
      <c r="G44" s="53">
        <v>0</v>
      </c>
    </row>
    <row r="45" spans="1:7">
      <c r="A45">
        <f>IFERROR(IF(B45="",0,IF(VALUE(LEFT(B45,1))&gt;3,VLOOKUP(VALUE(B45),PROYECCIONES!B:D,3,FALSE),0)),1 + COUNTIF($A$2:A44,"&gt;0"))</f>
        <v>0</v>
      </c>
      <c r="B45" s="52" t="s">
        <v>295</v>
      </c>
      <c r="C45" s="52" t="s">
        <v>247</v>
      </c>
      <c r="D45" s="53">
        <v>0</v>
      </c>
      <c r="E45" s="53">
        <v>9197179.7599999998</v>
      </c>
      <c r="F45" s="53">
        <v>11493506.279999999</v>
      </c>
      <c r="G45" s="53">
        <v>-2296326.5200000098</v>
      </c>
    </row>
    <row r="46" spans="1:7">
      <c r="A46">
        <f>IFERROR(IF(B46="",0,IF(VALUE(LEFT(B46,1))&gt;3,VLOOKUP(VALUE(B46),PROYECCIONES!B:D,3,FALSE),0)),1 + COUNTIF($A$2:A45,"&gt;0"))</f>
        <v>0</v>
      </c>
      <c r="B46" s="52" t="s">
        <v>86</v>
      </c>
      <c r="C46" s="52" t="s">
        <v>248</v>
      </c>
      <c r="D46" s="53">
        <v>-118268.9</v>
      </c>
      <c r="E46" s="53">
        <v>385350.94</v>
      </c>
      <c r="F46" s="53">
        <v>267082.03999999998</v>
      </c>
      <c r="G46" s="53">
        <v>0</v>
      </c>
    </row>
    <row r="47" spans="1:7">
      <c r="A47">
        <f>IFERROR(IF(B47="",0,IF(VALUE(LEFT(B47,1))&gt;3,VLOOKUP(VALUE(B47),PROYECCIONES!B:D,3,FALSE),0)),1 + COUNTIF($A$2:A46,"&gt;0"))</f>
        <v>0</v>
      </c>
      <c r="B47" s="52" t="s">
        <v>87</v>
      </c>
      <c r="C47" s="52" t="s">
        <v>483</v>
      </c>
      <c r="D47" s="53">
        <v>0</v>
      </c>
      <c r="E47" s="53">
        <v>0</v>
      </c>
      <c r="F47" s="53">
        <v>21600</v>
      </c>
      <c r="G47" s="53">
        <v>-21600</v>
      </c>
    </row>
    <row r="48" spans="1:7">
      <c r="A48">
        <f>IFERROR(IF(B48="",0,IF(VALUE(LEFT(B48,1))&gt;3,VLOOKUP(VALUE(B48),PROYECCIONES!B:D,3,FALSE),0)),1 + COUNTIF($A$2:A47,"&gt;0"))</f>
        <v>0</v>
      </c>
      <c r="B48" s="52" t="s">
        <v>362</v>
      </c>
      <c r="C48" s="52" t="s">
        <v>592</v>
      </c>
      <c r="D48" s="53">
        <v>-20300</v>
      </c>
      <c r="E48" s="53">
        <v>20300</v>
      </c>
      <c r="F48" s="53">
        <v>0</v>
      </c>
      <c r="G48" s="53">
        <v>0</v>
      </c>
    </row>
    <row r="49" spans="1:7">
      <c r="A49">
        <f>IFERROR(IF(B49="",0,IF(VALUE(LEFT(B49,1))&gt;3,VLOOKUP(VALUE(B49),PROYECCIONES!B:D,3,FALSE),0)),1 + COUNTIF($A$2:A48,"&gt;0"))</f>
        <v>0</v>
      </c>
      <c r="B49" s="52" t="s">
        <v>88</v>
      </c>
      <c r="C49" s="52" t="s">
        <v>585</v>
      </c>
      <c r="D49" s="53">
        <v>-74424.880000000107</v>
      </c>
      <c r="E49" s="53">
        <v>74424.59</v>
      </c>
      <c r="F49" s="53">
        <v>0</v>
      </c>
      <c r="G49" s="53">
        <v>-0.29000000003725301</v>
      </c>
    </row>
    <row r="50" spans="1:7">
      <c r="A50">
        <f>IFERROR(IF(B50="",0,IF(VALUE(LEFT(B50,1))&gt;3,VLOOKUP(VALUE(B50),PROYECCIONES!B:D,3,FALSE),0)),1 + COUNTIF($A$2:A49,"&gt;0"))</f>
        <v>0</v>
      </c>
      <c r="B50" s="52" t="s">
        <v>413</v>
      </c>
      <c r="C50" s="52" t="s">
        <v>586</v>
      </c>
      <c r="D50" s="53">
        <v>0</v>
      </c>
      <c r="E50" s="53">
        <v>187382.05</v>
      </c>
      <c r="F50" s="53">
        <v>248355.93</v>
      </c>
      <c r="G50" s="53">
        <v>-60973.88</v>
      </c>
    </row>
    <row r="51" spans="1:7">
      <c r="A51">
        <f>IFERROR(IF(B51="",0,IF(VALUE(LEFT(B51,1))&gt;3,VLOOKUP(VALUE(B51),PROYECCIONES!B:D,3,FALSE),0)),1 + COUNTIF($A$2:A50,"&gt;0"))</f>
        <v>0</v>
      </c>
      <c r="B51" s="52" t="s">
        <v>296</v>
      </c>
      <c r="C51" s="52" t="s">
        <v>249</v>
      </c>
      <c r="D51" s="53">
        <v>-83618</v>
      </c>
      <c r="E51" s="53">
        <v>167236</v>
      </c>
      <c r="F51" s="53">
        <v>129433</v>
      </c>
      <c r="G51" s="53">
        <v>-45815</v>
      </c>
    </row>
    <row r="52" spans="1:7">
      <c r="A52">
        <f>IFERROR(IF(B52="",0,IF(VALUE(LEFT(B52,1))&gt;3,VLOOKUP(VALUE(B52),PROYECCIONES!B:D,3,FALSE),0)),1 + COUNTIF($A$2:A51,"&gt;0"))</f>
        <v>0</v>
      </c>
      <c r="B52" s="52" t="s">
        <v>462</v>
      </c>
      <c r="C52" s="52" t="s">
        <v>463</v>
      </c>
      <c r="D52" s="53">
        <v>0</v>
      </c>
      <c r="E52" s="53">
        <v>35844</v>
      </c>
      <c r="F52" s="53">
        <v>82104.5</v>
      </c>
      <c r="G52" s="53">
        <v>-46260.5</v>
      </c>
    </row>
    <row r="53" spans="1:7">
      <c r="A53">
        <f>IFERROR(IF(B53="",0,IF(VALUE(LEFT(B53,1))&gt;3,VLOOKUP(VALUE(B53),PROYECCIONES!B:D,3,FALSE),0)),1 + COUNTIF($A$2:A52,"&gt;0"))</f>
        <v>0</v>
      </c>
      <c r="B53" s="52" t="s">
        <v>297</v>
      </c>
      <c r="C53" s="52" t="s">
        <v>250</v>
      </c>
      <c r="D53" s="53">
        <v>-1027152</v>
      </c>
      <c r="E53" s="53">
        <v>1986897</v>
      </c>
      <c r="F53" s="53">
        <v>1308241</v>
      </c>
      <c r="G53" s="53">
        <v>-348496</v>
      </c>
    </row>
    <row r="54" spans="1:7">
      <c r="A54">
        <f>IFERROR(IF(B54="",0,IF(VALUE(LEFT(B54,1))&gt;3,VLOOKUP(VALUE(B54),PROYECCIONES!B:D,3,FALSE),0)),1 + COUNTIF($A$2:A53,"&gt;0"))</f>
        <v>0</v>
      </c>
      <c r="B54" s="52" t="s">
        <v>363</v>
      </c>
      <c r="C54" s="52" t="s">
        <v>437</v>
      </c>
      <c r="D54" s="53">
        <v>-440000</v>
      </c>
      <c r="E54" s="53">
        <v>880000</v>
      </c>
      <c r="F54" s="53">
        <v>660000</v>
      </c>
      <c r="G54" s="53">
        <v>-220000</v>
      </c>
    </row>
    <row r="55" spans="1:7">
      <c r="A55">
        <f>IFERROR(IF(B55="",0,IF(VALUE(LEFT(B55,1))&gt;3,VLOOKUP(VALUE(B55),PROYECCIONES!B:D,3,FALSE),0)),1 + COUNTIF($A$2:A54,"&gt;0"))</f>
        <v>0</v>
      </c>
      <c r="B55" s="52" t="s">
        <v>438</v>
      </c>
      <c r="C55" s="52" t="s">
        <v>439</v>
      </c>
      <c r="D55" s="53">
        <v>0</v>
      </c>
      <c r="E55" s="53">
        <v>128250</v>
      </c>
      <c r="F55" s="53">
        <v>213750</v>
      </c>
      <c r="G55" s="53">
        <v>-85500</v>
      </c>
    </row>
    <row r="56" spans="1:7">
      <c r="A56">
        <f>IFERROR(IF(B56="",0,IF(VALUE(LEFT(B56,1))&gt;3,VLOOKUP(VALUE(B56),PROYECCIONES!B:D,3,FALSE),0)),1 + COUNTIF($A$2:A55,"&gt;0"))</f>
        <v>0</v>
      </c>
      <c r="B56" s="52" t="s">
        <v>381</v>
      </c>
      <c r="C56" s="52" t="s">
        <v>382</v>
      </c>
      <c r="D56" s="53">
        <v>0</v>
      </c>
      <c r="E56" s="53">
        <v>178014.83</v>
      </c>
      <c r="F56" s="53">
        <v>235940.01</v>
      </c>
      <c r="G56" s="53">
        <v>-57925.180000000102</v>
      </c>
    </row>
    <row r="57" spans="1:7">
      <c r="A57">
        <f>IFERROR(IF(B57="",0,IF(VALUE(LEFT(B57,1))&gt;3,VLOOKUP(VALUE(B57),PROYECCIONES!B:D,3,FALSE),0)),1 + COUNTIF($A$2:A56,"&gt;0"))</f>
        <v>0</v>
      </c>
      <c r="B57" s="52" t="s">
        <v>298</v>
      </c>
      <c r="C57" s="52" t="s">
        <v>251</v>
      </c>
      <c r="D57" s="53">
        <v>-53457.23</v>
      </c>
      <c r="E57" s="53">
        <v>43670.51</v>
      </c>
      <c r="F57" s="53">
        <v>78864.710000000006</v>
      </c>
      <c r="G57" s="53">
        <v>-88651.43</v>
      </c>
    </row>
    <row r="58" spans="1:7">
      <c r="A58">
        <f>IFERROR(IF(B58="",0,IF(VALUE(LEFT(B58,1))&gt;3,VLOOKUP(VALUE(B58),PROYECCIONES!B:D,3,FALSE),0)),1 + COUNTIF($A$2:A57,"&gt;0"))</f>
        <v>0</v>
      </c>
      <c r="B58" s="52" t="s">
        <v>383</v>
      </c>
      <c r="C58" s="52" t="s">
        <v>375</v>
      </c>
      <c r="D58" s="53">
        <v>0</v>
      </c>
      <c r="E58" s="53">
        <v>10337.799999999999</v>
      </c>
      <c r="F58" s="53">
        <v>10337.799999999999</v>
      </c>
      <c r="G58" s="53">
        <v>0</v>
      </c>
    </row>
    <row r="59" spans="1:7">
      <c r="A59">
        <f>IFERROR(IF(B59="",0,IF(VALUE(LEFT(B59,1))&gt;3,VLOOKUP(VALUE(B59),PROYECCIONES!B:D,3,FALSE),0)),1 + COUNTIF($A$2:A58,"&gt;0"))</f>
        <v>0</v>
      </c>
      <c r="B59" s="52" t="s">
        <v>364</v>
      </c>
      <c r="C59" s="52" t="s">
        <v>365</v>
      </c>
      <c r="D59" s="53">
        <v>-3828</v>
      </c>
      <c r="E59" s="53">
        <v>0</v>
      </c>
      <c r="F59" s="53">
        <v>0</v>
      </c>
      <c r="G59" s="53">
        <v>-3828</v>
      </c>
    </row>
    <row r="60" spans="1:7">
      <c r="A60">
        <f>IFERROR(IF(B60="",0,IF(VALUE(LEFT(B60,1))&gt;3,VLOOKUP(VALUE(B60),PROYECCIONES!B:D,3,FALSE),0)),1 + COUNTIF($A$2:A59,"&gt;0"))</f>
        <v>0</v>
      </c>
      <c r="B60" s="52" t="s">
        <v>464</v>
      </c>
      <c r="C60" s="52" t="s">
        <v>465</v>
      </c>
      <c r="D60" s="53">
        <v>0</v>
      </c>
      <c r="E60" s="53">
        <v>11040</v>
      </c>
      <c r="F60" s="53">
        <v>15957.65</v>
      </c>
      <c r="G60" s="53">
        <v>-4917.6499999999896</v>
      </c>
    </row>
    <row r="61" spans="1:7">
      <c r="A61">
        <f>IFERROR(IF(B61="",0,IF(VALUE(LEFT(B61,1))&gt;3,VLOOKUP(VALUE(B61),PROYECCIONES!B:D,3,FALSE),0)),1 + COUNTIF($A$2:A60,"&gt;0"))</f>
        <v>0</v>
      </c>
      <c r="B61" s="52" t="s">
        <v>299</v>
      </c>
      <c r="C61" s="52" t="s">
        <v>252</v>
      </c>
      <c r="D61" s="53">
        <v>-803998</v>
      </c>
      <c r="E61" s="53">
        <v>1700500</v>
      </c>
      <c r="F61" s="53">
        <v>1657601</v>
      </c>
      <c r="G61" s="53">
        <v>-761099</v>
      </c>
    </row>
    <row r="62" spans="1:7">
      <c r="A62">
        <f>IFERROR(IF(B62="",0,IF(VALUE(LEFT(B62,1))&gt;3,VLOOKUP(VALUE(B62),PROYECCIONES!B:D,3,FALSE),0)),1 + COUNTIF($A$2:A61,"&gt;0"))</f>
        <v>0</v>
      </c>
      <c r="B62" s="52" t="s">
        <v>300</v>
      </c>
      <c r="C62" s="52" t="s">
        <v>253</v>
      </c>
      <c r="D62" s="53">
        <v>-72817</v>
      </c>
      <c r="E62" s="53">
        <v>178600</v>
      </c>
      <c r="F62" s="53">
        <v>232760</v>
      </c>
      <c r="G62" s="53">
        <v>-126977</v>
      </c>
    </row>
    <row r="63" spans="1:7">
      <c r="A63">
        <f>IFERROR(IF(B63="",0,IF(VALUE(LEFT(B63,1))&gt;3,VLOOKUP(VALUE(B63),PROYECCIONES!B:D,3,FALSE),0)),1 + COUNTIF($A$2:A62,"&gt;0"))</f>
        <v>0</v>
      </c>
      <c r="B63" s="52" t="s">
        <v>301</v>
      </c>
      <c r="C63" s="52" t="s">
        <v>254</v>
      </c>
      <c r="D63" s="53">
        <v>-557999</v>
      </c>
      <c r="E63" s="53">
        <v>1700500</v>
      </c>
      <c r="F63" s="53">
        <v>1783600</v>
      </c>
      <c r="G63" s="53">
        <v>-641099</v>
      </c>
    </row>
    <row r="64" spans="1:7">
      <c r="A64">
        <f>IFERROR(IF(B64="",0,IF(VALUE(LEFT(B64,1))&gt;3,VLOOKUP(VALUE(B64),PROYECCIONES!B:D,3,FALSE),0)),1 + COUNTIF($A$2:A63,"&gt;0"))</f>
        <v>0</v>
      </c>
      <c r="B64" s="52" t="s">
        <v>302</v>
      </c>
      <c r="C64" s="52" t="s">
        <v>255</v>
      </c>
      <c r="D64" s="53">
        <v>-5483064</v>
      </c>
      <c r="E64" s="53">
        <v>7242900</v>
      </c>
      <c r="F64" s="53">
        <v>7290401</v>
      </c>
      <c r="G64" s="53">
        <v>-5530565</v>
      </c>
    </row>
    <row r="65" spans="1:7">
      <c r="A65">
        <f>IFERROR(IF(B65="",0,IF(VALUE(LEFT(B65,1))&gt;3,VLOOKUP(VALUE(B65),PROYECCIONES!B:D,3,FALSE),0)),1 + COUNTIF($A$2:A64,"&gt;0"))</f>
        <v>0</v>
      </c>
      <c r="B65" s="52" t="s">
        <v>440</v>
      </c>
      <c r="C65" s="52" t="s">
        <v>441</v>
      </c>
      <c r="D65" s="53">
        <v>-28977138</v>
      </c>
      <c r="E65" s="53">
        <v>26977138</v>
      </c>
      <c r="F65" s="53">
        <v>0</v>
      </c>
      <c r="G65" s="53">
        <v>-2000000</v>
      </c>
    </row>
    <row r="66" spans="1:7">
      <c r="A66">
        <f>IFERROR(IF(B66="",0,IF(VALUE(LEFT(B66,1))&gt;3,VLOOKUP(VALUE(B66),PROYECCIONES!B:D,3,FALSE),0)),1 + COUNTIF($A$2:A65,"&gt;0"))</f>
        <v>0</v>
      </c>
      <c r="B66" s="52" t="s">
        <v>303</v>
      </c>
      <c r="C66" s="52" t="s">
        <v>256</v>
      </c>
      <c r="D66" s="53">
        <v>-3.5762786865234401E-7</v>
      </c>
      <c r="E66" s="53">
        <v>0</v>
      </c>
      <c r="F66" s="53">
        <v>31070790.82</v>
      </c>
      <c r="G66" s="53">
        <v>-31070790.820000399</v>
      </c>
    </row>
    <row r="67" spans="1:7">
      <c r="A67">
        <f>IFERROR(IF(B67="",0,IF(VALUE(LEFT(B67,1))&gt;3,VLOOKUP(VALUE(B67),PROYECCIONES!B:D,3,FALSE),0)),1 + COUNTIF($A$2:A66,"&gt;0"))</f>
        <v>0</v>
      </c>
      <c r="B67" s="52" t="s">
        <v>304</v>
      </c>
      <c r="C67" s="52" t="s">
        <v>257</v>
      </c>
      <c r="D67" s="53">
        <v>5.5879354476928703E-9</v>
      </c>
      <c r="E67" s="53">
        <v>1942281.24</v>
      </c>
      <c r="F67" s="53">
        <v>0</v>
      </c>
      <c r="G67" s="53">
        <v>1942281.24</v>
      </c>
    </row>
    <row r="68" spans="1:7">
      <c r="A68">
        <f>IFERROR(IF(B68="",0,IF(VALUE(LEFT(B68,1))&gt;3,VLOOKUP(VALUE(B68),PROYECCIONES!B:D,3,FALSE),0)),1 + COUNTIF($A$2:A67,"&gt;0"))</f>
        <v>0</v>
      </c>
      <c r="B68" s="52" t="s">
        <v>305</v>
      </c>
      <c r="C68" s="52" t="s">
        <v>258</v>
      </c>
      <c r="D68" s="53">
        <v>7.4505805969238298E-9</v>
      </c>
      <c r="E68" s="53">
        <v>3271517.2</v>
      </c>
      <c r="F68" s="53">
        <v>0</v>
      </c>
      <c r="G68" s="53">
        <v>3271517.20000001</v>
      </c>
    </row>
    <row r="69" spans="1:7">
      <c r="A69">
        <f>IFERROR(IF(B69="",0,IF(VALUE(LEFT(B69,1))&gt;3,VLOOKUP(VALUE(B69),PROYECCIONES!B:D,3,FALSE),0)),1 + COUNTIF($A$2:A68,"&gt;0"))</f>
        <v>0</v>
      </c>
      <c r="B69" s="52" t="s">
        <v>384</v>
      </c>
      <c r="C69" s="52" t="s">
        <v>385</v>
      </c>
      <c r="D69" s="53">
        <v>0</v>
      </c>
      <c r="E69" s="53">
        <v>235940.01</v>
      </c>
      <c r="F69" s="53">
        <v>0</v>
      </c>
      <c r="G69" s="53">
        <v>235940.01</v>
      </c>
    </row>
    <row r="70" spans="1:7">
      <c r="A70">
        <f>IFERROR(IF(B70="",0,IF(VALUE(LEFT(B70,1))&gt;3,VLOOKUP(VALUE(B70),PROYECCIONES!B:D,3,FALSE),0)),1 + COUNTIF($A$2:A69,"&gt;0"))</f>
        <v>0</v>
      </c>
      <c r="B70" s="52" t="s">
        <v>475</v>
      </c>
      <c r="C70" s="52" t="s">
        <v>476</v>
      </c>
      <c r="D70" s="53">
        <v>-35410863.340000004</v>
      </c>
      <c r="E70" s="53">
        <v>35410863.340000004</v>
      </c>
      <c r="F70" s="53">
        <v>0</v>
      </c>
      <c r="G70" s="53">
        <v>0</v>
      </c>
    </row>
    <row r="71" spans="1:7">
      <c r="A71">
        <f>IFERROR(IF(B71="",0,IF(VALUE(LEFT(B71,1))&gt;3,VLOOKUP(VALUE(B71),PROYECCIONES!B:D,3,FALSE),0)),1 + COUNTIF($A$2:A70,"&gt;0"))</f>
        <v>0</v>
      </c>
      <c r="B71" s="52" t="s">
        <v>306</v>
      </c>
      <c r="C71" s="52" t="s">
        <v>89</v>
      </c>
      <c r="D71" s="53">
        <v>-1786000</v>
      </c>
      <c r="E71" s="53">
        <v>48146048</v>
      </c>
      <c r="F71" s="53">
        <v>49804064</v>
      </c>
      <c r="G71" s="53">
        <v>-3444016</v>
      </c>
    </row>
    <row r="72" spans="1:7">
      <c r="A72">
        <f>IFERROR(IF(B72="",0,IF(VALUE(LEFT(B72,1))&gt;3,VLOOKUP(VALUE(B72),PROYECCIONES!B:D,3,FALSE),0)),1 + COUNTIF($A$2:A71,"&gt;0"))</f>
        <v>0</v>
      </c>
      <c r="B72" s="52" t="s">
        <v>307</v>
      </c>
      <c r="C72" s="52" t="s">
        <v>259</v>
      </c>
      <c r="D72" s="53">
        <v>-14595603</v>
      </c>
      <c r="E72" s="53">
        <v>14595603</v>
      </c>
      <c r="F72" s="53">
        <v>0</v>
      </c>
      <c r="G72" s="53">
        <v>0</v>
      </c>
    </row>
    <row r="73" spans="1:7">
      <c r="A73">
        <f>IFERROR(IF(B73="",0,IF(VALUE(LEFT(B73,1))&gt;3,VLOOKUP(VALUE(B73),PROYECCIONES!B:D,3,FALSE),0)),1 + COUNTIF($A$2:A72,"&gt;0"))</f>
        <v>0</v>
      </c>
      <c r="B73" s="52" t="s">
        <v>308</v>
      </c>
      <c r="C73" s="52" t="s">
        <v>260</v>
      </c>
      <c r="D73" s="53">
        <v>-1568734</v>
      </c>
      <c r="E73" s="53">
        <v>1568734</v>
      </c>
      <c r="F73" s="53">
        <v>0</v>
      </c>
      <c r="G73" s="53">
        <v>0</v>
      </c>
    </row>
    <row r="74" spans="1:7">
      <c r="A74">
        <f>IFERROR(IF(B74="",0,IF(VALUE(LEFT(B74,1))&gt;3,VLOOKUP(VALUE(B74),PROYECCIONES!B:D,3,FALSE),0)),1 + COUNTIF($A$2:A73,"&gt;0"))</f>
        <v>0</v>
      </c>
      <c r="B74" s="52" t="s">
        <v>446</v>
      </c>
      <c r="C74" s="52" t="s">
        <v>447</v>
      </c>
      <c r="D74" s="53">
        <v>0</v>
      </c>
      <c r="E74" s="53">
        <v>0</v>
      </c>
      <c r="F74" s="53">
        <v>3842771</v>
      </c>
      <c r="G74" s="53">
        <v>-3842771</v>
      </c>
    </row>
    <row r="75" spans="1:7">
      <c r="A75">
        <f>IFERROR(IF(B75="",0,IF(VALUE(LEFT(B75,1))&gt;3,VLOOKUP(VALUE(B75),PROYECCIONES!B:D,3,FALSE),0)),1 + COUNTIF($A$2:A74,"&gt;0"))</f>
        <v>0</v>
      </c>
      <c r="B75" s="52" t="s">
        <v>448</v>
      </c>
      <c r="C75" s="52" t="s">
        <v>449</v>
      </c>
      <c r="D75" s="53">
        <v>0</v>
      </c>
      <c r="E75" s="53">
        <v>0</v>
      </c>
      <c r="F75" s="53">
        <v>461136</v>
      </c>
      <c r="G75" s="53">
        <v>-461136</v>
      </c>
    </row>
    <row r="76" spans="1:7">
      <c r="A76">
        <f>IFERROR(IF(B76="",0,IF(VALUE(LEFT(B76,1))&gt;3,VLOOKUP(VALUE(B76),PROYECCIONES!B:D,3,FALSE),0)),1 + COUNTIF($A$2:A75,"&gt;0"))</f>
        <v>0</v>
      </c>
      <c r="B76" s="52" t="s">
        <v>450</v>
      </c>
      <c r="C76" s="52" t="s">
        <v>451</v>
      </c>
      <c r="D76" s="53">
        <v>0</v>
      </c>
      <c r="E76" s="53">
        <v>0</v>
      </c>
      <c r="F76" s="53">
        <v>1857921</v>
      </c>
      <c r="G76" s="53">
        <v>-1857921</v>
      </c>
    </row>
    <row r="77" spans="1:7">
      <c r="A77">
        <f>IFERROR(IF(B77="",0,IF(VALUE(LEFT(B77,1))&gt;3,VLOOKUP(VALUE(B77),PROYECCIONES!B:D,3,FALSE),0)),1 + COUNTIF($A$2:A76,"&gt;0"))</f>
        <v>0</v>
      </c>
      <c r="B77" s="52" t="s">
        <v>452</v>
      </c>
      <c r="C77" s="52" t="s">
        <v>453</v>
      </c>
      <c r="D77" s="53">
        <v>0</v>
      </c>
      <c r="E77" s="53">
        <v>0</v>
      </c>
      <c r="F77" s="53">
        <v>3842771</v>
      </c>
      <c r="G77" s="53">
        <v>-3842771</v>
      </c>
    </row>
    <row r="78" spans="1:7">
      <c r="A78">
        <f>IFERROR(IF(B78="",0,IF(VALUE(LEFT(B78,1))&gt;3,VLOOKUP(VALUE(B78),PROYECCIONES!B:D,3,FALSE),0)),1 + COUNTIF($A$2:A77,"&gt;0"))</f>
        <v>0</v>
      </c>
      <c r="B78" s="52" t="s">
        <v>593</v>
      </c>
      <c r="C78" s="52" t="s">
        <v>594</v>
      </c>
      <c r="D78" s="53">
        <v>0</v>
      </c>
      <c r="E78" s="53">
        <v>0</v>
      </c>
      <c r="F78" s="53">
        <v>26977138</v>
      </c>
      <c r="G78" s="53">
        <v>-26977138</v>
      </c>
    </row>
    <row r="79" spans="1:7">
      <c r="A79">
        <f>IFERROR(IF(B79="",0,IF(VALUE(LEFT(B79,1))&gt;3,VLOOKUP(VALUE(B79),PROYECCIONES!B:D,3,FALSE),0)),1 + COUNTIF($A$2:A78,"&gt;0"))</f>
        <v>0</v>
      </c>
      <c r="B79" s="52" t="s">
        <v>477</v>
      </c>
      <c r="C79" s="52" t="s">
        <v>478</v>
      </c>
      <c r="D79" s="53">
        <v>-3778917.1</v>
      </c>
      <c r="E79" s="53">
        <v>0</v>
      </c>
      <c r="F79" s="53">
        <v>0</v>
      </c>
      <c r="G79" s="53">
        <v>-3778917.1</v>
      </c>
    </row>
    <row r="80" spans="1:7">
      <c r="A80">
        <f>IFERROR(IF(B80="",0,IF(VALUE(LEFT(B80,1))&gt;3,VLOOKUP(VALUE(B80),PROYECCIONES!B:D,3,FALSE),0)),1 + COUNTIF($A$2:A79,"&gt;0"))</f>
        <v>0</v>
      </c>
      <c r="B80" s="52" t="s">
        <v>479</v>
      </c>
      <c r="C80" s="52" t="s">
        <v>480</v>
      </c>
      <c r="D80" s="53">
        <v>-180390</v>
      </c>
      <c r="E80" s="53">
        <v>0</v>
      </c>
      <c r="F80" s="53">
        <v>0</v>
      </c>
      <c r="G80" s="53">
        <v>-180390</v>
      </c>
    </row>
    <row r="81" spans="1:7">
      <c r="A81">
        <f>IFERROR(IF(B81="",0,IF(VALUE(LEFT(B81,1))&gt;3,VLOOKUP(VALUE(B81),PROYECCIONES!B:D,3,FALSE),0)),1 + COUNTIF($A$2:A80,"&gt;0"))</f>
        <v>0</v>
      </c>
      <c r="B81" s="52" t="s">
        <v>309</v>
      </c>
      <c r="C81" s="52" t="s">
        <v>261</v>
      </c>
      <c r="D81" s="53">
        <v>-100000000</v>
      </c>
      <c r="E81" s="53">
        <v>0</v>
      </c>
      <c r="F81" s="53">
        <v>0</v>
      </c>
      <c r="G81" s="53">
        <v>-100000000</v>
      </c>
    </row>
    <row r="82" spans="1:7">
      <c r="A82">
        <f>IFERROR(IF(B82="",0,IF(VALUE(LEFT(B82,1))&gt;3,VLOOKUP(VALUE(B82),PROYECCIONES!B:D,3,FALSE),0)),1 + COUNTIF($A$2:A81,"&gt;0"))</f>
        <v>0</v>
      </c>
      <c r="B82" s="52" t="s">
        <v>310</v>
      </c>
      <c r="C82" s="52" t="s">
        <v>262</v>
      </c>
      <c r="D82" s="53">
        <v>69000000</v>
      </c>
      <c r="E82" s="53">
        <v>0</v>
      </c>
      <c r="F82" s="53">
        <v>0</v>
      </c>
      <c r="G82" s="53">
        <v>69000000</v>
      </c>
    </row>
    <row r="83" spans="1:7">
      <c r="A83">
        <f>IFERROR(IF(B83="",0,IF(VALUE(LEFT(B83,1))&gt;3,VLOOKUP(VALUE(B83),PROYECCIONES!B:D,3,FALSE),0)),1 + COUNTIF($A$2:A82,"&gt;0"))</f>
        <v>0</v>
      </c>
      <c r="B83" s="52" t="s">
        <v>481</v>
      </c>
      <c r="C83" s="52" t="s">
        <v>482</v>
      </c>
      <c r="D83" s="53">
        <v>-41626840.030000001</v>
      </c>
      <c r="E83" s="53">
        <v>41626840.030000001</v>
      </c>
      <c r="F83" s="53">
        <v>0</v>
      </c>
      <c r="G83" s="53">
        <v>0</v>
      </c>
    </row>
    <row r="84" spans="1:7">
      <c r="A84">
        <f>IFERROR(IF(B84="",0,IF(VALUE(LEFT(B84,1))&gt;3,VLOOKUP(VALUE(B84),PROYECCIONES!B:D,3,FALSE),0)),1 + COUNTIF($A$2:A83,"&gt;0"))</f>
        <v>0</v>
      </c>
      <c r="B84" s="52" t="s">
        <v>521</v>
      </c>
      <c r="C84" s="52" t="s">
        <v>522</v>
      </c>
      <c r="D84" s="53">
        <v>0</v>
      </c>
      <c r="E84" s="53">
        <v>0</v>
      </c>
      <c r="F84" s="53">
        <v>121913000</v>
      </c>
      <c r="G84" s="53">
        <v>-121913000</v>
      </c>
    </row>
    <row r="85" spans="1:7">
      <c r="A85">
        <f>IFERROR(IF(B85="",0,IF(VALUE(LEFT(B85,1))&gt;3,VLOOKUP(VALUE(B85),PROYECCIONES!B:D,3,FALSE),0)),1 + COUNTIF($A$2:A84,"&gt;0"))</f>
        <v>0</v>
      </c>
      <c r="B85" s="52" t="s">
        <v>523</v>
      </c>
      <c r="C85" s="52" t="s">
        <v>524</v>
      </c>
      <c r="D85" s="53">
        <v>0</v>
      </c>
      <c r="E85" s="53">
        <v>0</v>
      </c>
      <c r="F85" s="53">
        <v>9320635</v>
      </c>
      <c r="G85" s="53">
        <v>-9320635</v>
      </c>
    </row>
    <row r="86" spans="1:7">
      <c r="A86">
        <f>IFERROR(IF(B86="",0,IF(VALUE(LEFT(B86,1))&gt;3,VLOOKUP(VALUE(B86),PROYECCIONES!B:D,3,FALSE),0)),1 + COUNTIF($A$2:A85,"&gt;0"))</f>
        <v>0</v>
      </c>
      <c r="B86" s="52" t="s">
        <v>525</v>
      </c>
      <c r="C86" s="52" t="s">
        <v>526</v>
      </c>
      <c r="D86" s="53">
        <v>0</v>
      </c>
      <c r="E86" s="53">
        <v>0</v>
      </c>
      <c r="F86" s="53">
        <v>106347119</v>
      </c>
      <c r="G86" s="53">
        <v>-106347119</v>
      </c>
    </row>
    <row r="87" spans="1:7">
      <c r="A87">
        <f>IFERROR(IF(B87="",0,IF(VALUE(LEFT(B87,1))&gt;3,VLOOKUP(VALUE(B87),PROYECCIONES!B:D,3,FALSE),0)),1 + COUNTIF($A$2:A86,"&gt;0"))</f>
        <v>0</v>
      </c>
      <c r="B87" s="52" t="s">
        <v>527</v>
      </c>
      <c r="C87" s="52" t="s">
        <v>528</v>
      </c>
      <c r="D87" s="53">
        <v>0</v>
      </c>
      <c r="E87" s="53">
        <v>0</v>
      </c>
      <c r="F87" s="53">
        <v>41185457</v>
      </c>
      <c r="G87" s="53">
        <v>-41185457</v>
      </c>
    </row>
    <row r="88" spans="1:7">
      <c r="A88">
        <f>IFERROR(IF(B88="",0,IF(VALUE(LEFT(B88,1))&gt;3,VLOOKUP(VALUE(B88),PROYECCIONES!B:D,3,FALSE),0)),1 + COUNTIF($A$2:A87,"&gt;0"))</f>
        <v>0</v>
      </c>
      <c r="B88" s="52" t="s">
        <v>529</v>
      </c>
      <c r="C88" s="52" t="s">
        <v>530</v>
      </c>
      <c r="D88" s="53">
        <v>0</v>
      </c>
      <c r="E88" s="53">
        <v>0</v>
      </c>
      <c r="F88" s="53">
        <v>46049185</v>
      </c>
      <c r="G88" s="53">
        <v>-46049185</v>
      </c>
    </row>
    <row r="89" spans="1:7">
      <c r="A89">
        <f>IFERROR(IF(B89="",0,IF(VALUE(LEFT(B89,1))&gt;3,VLOOKUP(VALUE(B89),PROYECCIONES!B:D,3,FALSE),0)),1 + COUNTIF($A$2:A88,"&gt;0"))</f>
        <v>0</v>
      </c>
      <c r="B89" s="52" t="s">
        <v>531</v>
      </c>
      <c r="C89" s="52" t="s">
        <v>532</v>
      </c>
      <c r="D89" s="53">
        <v>0</v>
      </c>
      <c r="E89" s="53">
        <v>0</v>
      </c>
      <c r="F89" s="53">
        <v>41626840.030000001</v>
      </c>
      <c r="G89" s="53">
        <v>-41626840.030000001</v>
      </c>
    </row>
    <row r="90" spans="1:7">
      <c r="A90">
        <f>IFERROR(IF(B90="",0,IF(VALUE(LEFT(B90,1))&gt;3,VLOOKUP(VALUE(B90),PROYECCIONES!B:D,3,FALSE),0)),1 + COUNTIF($A$2:A89,"&gt;0"))</f>
        <v>0</v>
      </c>
      <c r="B90" s="52" t="s">
        <v>311</v>
      </c>
      <c r="C90" s="52" t="s">
        <v>263</v>
      </c>
      <c r="D90" s="53">
        <v>-324855397.33999997</v>
      </c>
      <c r="E90" s="53">
        <v>324855397.33999997</v>
      </c>
      <c r="F90" s="53">
        <v>0</v>
      </c>
      <c r="G90" s="53">
        <v>-5.9604644775390599E-8</v>
      </c>
    </row>
    <row r="91" spans="1:7">
      <c r="A91">
        <f>IFERROR(IF(B91="",0,IF(VALUE(LEFT(B91,1))&gt;3,VLOOKUP(VALUE(B91),PROYECCIONES!B:D,3,FALSE),0)),1 + COUNTIF($A$2:A90,"&gt;0"))</f>
        <v>0</v>
      </c>
      <c r="B91" s="52" t="s">
        <v>312</v>
      </c>
      <c r="C91" s="52" t="s">
        <v>119</v>
      </c>
      <c r="D91" s="53">
        <v>0</v>
      </c>
      <c r="E91" s="53">
        <v>0</v>
      </c>
      <c r="F91" s="53">
        <v>125265684</v>
      </c>
      <c r="G91" s="53">
        <v>-125265684</v>
      </c>
    </row>
    <row r="92" spans="1:7">
      <c r="A92">
        <f>IFERROR(IF(B92="",0,IF(VALUE(LEFT(B92,1))&gt;3,VLOOKUP(VALUE(B92),PROYECCIONES!B:D,3,FALSE),0)),1 + COUNTIF($A$2:A91,"&gt;0"))</f>
        <v>0</v>
      </c>
      <c r="B92" s="52" t="s">
        <v>386</v>
      </c>
      <c r="C92" s="52" t="s">
        <v>120</v>
      </c>
      <c r="D92" s="53">
        <v>0</v>
      </c>
      <c r="E92" s="53">
        <v>0</v>
      </c>
      <c r="F92" s="53">
        <v>38264794</v>
      </c>
      <c r="G92" s="53">
        <v>-38264794</v>
      </c>
    </row>
    <row r="93" spans="1:7">
      <c r="A93">
        <f>IFERROR(IF(B93="",0,IF(VALUE(LEFT(B93,1))&gt;3,VLOOKUP(VALUE(B93),PROYECCIONES!B:D,3,FALSE),0)),1 + COUNTIF($A$2:A92,"&gt;0"))</f>
        <v>0</v>
      </c>
      <c r="B93" s="52" t="s">
        <v>313</v>
      </c>
      <c r="C93" s="52" t="s">
        <v>122</v>
      </c>
      <c r="D93" s="53">
        <v>2.91038304567337E-11</v>
      </c>
      <c r="E93" s="53">
        <v>0</v>
      </c>
      <c r="F93" s="53">
        <v>4906.8100000000004</v>
      </c>
      <c r="G93" s="53">
        <v>-4906.8099999999704</v>
      </c>
    </row>
    <row r="94" spans="1:7">
      <c r="A94">
        <f>IFERROR(IF(B94="",0,IF(VALUE(LEFT(B94,1))&gt;3,VLOOKUP(VALUE(B94),PROYECCIONES!B:D,3,FALSE),0)),1 + COUNTIF($A$2:A93,"&gt;0"))</f>
        <v>0</v>
      </c>
      <c r="B94" s="52" t="s">
        <v>314</v>
      </c>
      <c r="C94" s="52" t="s">
        <v>99</v>
      </c>
      <c r="D94" s="53">
        <v>0</v>
      </c>
      <c r="E94" s="53">
        <v>0</v>
      </c>
      <c r="F94" s="53">
        <v>8.6500000000006594</v>
      </c>
      <c r="G94" s="53">
        <v>-8.6499999999941792</v>
      </c>
    </row>
    <row r="95" spans="1:7">
      <c r="A95">
        <f>IFERROR(IF(B95="",0,IF(VALUE(LEFT(B95,1))&gt;3,VLOOKUP(VALUE(B95),PROYECCIONES!B:D,3,FALSE),0)),1 + COUNTIF($A$2:A94,"&gt;0"))</f>
        <v>0</v>
      </c>
      <c r="B95" s="52" t="s">
        <v>315</v>
      </c>
      <c r="C95" s="52" t="s">
        <v>100</v>
      </c>
      <c r="D95" s="53">
        <v>0</v>
      </c>
      <c r="E95" s="53">
        <v>16726667</v>
      </c>
      <c r="F95" s="53">
        <v>0</v>
      </c>
      <c r="G95" s="53">
        <v>16726667</v>
      </c>
    </row>
    <row r="96" spans="1:7">
      <c r="A96">
        <f>IFERROR(IF(B96="",0,IF(VALUE(LEFT(B96,1))&gt;3,VLOOKUP(VALUE(B96),PROYECCIONES!B:D,3,FALSE),0)),1 + COUNTIF($A$2:A95,"&gt;0"))</f>
        <v>0</v>
      </c>
      <c r="B96" s="52" t="s">
        <v>316</v>
      </c>
      <c r="C96" s="52" t="s">
        <v>101</v>
      </c>
      <c r="D96" s="53">
        <v>0</v>
      </c>
      <c r="E96" s="53">
        <v>468688</v>
      </c>
      <c r="F96" s="53">
        <v>0</v>
      </c>
      <c r="G96" s="53">
        <v>468688</v>
      </c>
    </row>
    <row r="97" spans="1:7">
      <c r="A97">
        <f>IFERROR(IF(B97="",0,IF(VALUE(LEFT(B97,1))&gt;3,VLOOKUP(VALUE(B97),PROYECCIONES!B:D,3,FALSE),0)),1 + COUNTIF($A$2:A96,"&gt;0"))</f>
        <v>0</v>
      </c>
      <c r="B97" s="52" t="s">
        <v>317</v>
      </c>
      <c r="C97" s="52" t="s">
        <v>96</v>
      </c>
      <c r="D97" s="53">
        <v>0</v>
      </c>
      <c r="E97" s="53">
        <v>1522391</v>
      </c>
      <c r="F97" s="53">
        <v>0</v>
      </c>
      <c r="G97" s="53">
        <v>1522391</v>
      </c>
    </row>
    <row r="98" spans="1:7">
      <c r="A98">
        <f>IFERROR(IF(B98="",0,IF(VALUE(LEFT(B98,1))&gt;3,VLOOKUP(VALUE(B98),PROYECCIONES!B:D,3,FALSE),0)),1 + COUNTIF($A$2:A97,"&gt;0"))</f>
        <v>0</v>
      </c>
      <c r="B98" s="52" t="s">
        <v>318</v>
      </c>
      <c r="C98" s="52" t="s">
        <v>102</v>
      </c>
      <c r="D98" s="53">
        <v>0</v>
      </c>
      <c r="E98" s="53">
        <v>182688</v>
      </c>
      <c r="F98" s="53">
        <v>0</v>
      </c>
      <c r="G98" s="53">
        <v>182688</v>
      </c>
    </row>
    <row r="99" spans="1:7">
      <c r="A99">
        <f>IFERROR(IF(B99="",0,IF(VALUE(LEFT(B99,1))&gt;3,VLOOKUP(VALUE(B99),PROYECCIONES!B:D,3,FALSE),0)),1 + COUNTIF($A$2:A98,"&gt;0"))</f>
        <v>0</v>
      </c>
      <c r="B99" s="52" t="s">
        <v>319</v>
      </c>
      <c r="C99" s="52" t="s">
        <v>97</v>
      </c>
      <c r="D99" s="53">
        <v>0</v>
      </c>
      <c r="E99" s="53">
        <v>1522391</v>
      </c>
      <c r="F99" s="53">
        <v>0</v>
      </c>
      <c r="G99" s="53">
        <v>1522391</v>
      </c>
    </row>
    <row r="100" spans="1:7">
      <c r="A100">
        <f>IFERROR(IF(B100="",0,IF(VALUE(LEFT(B100,1))&gt;3,VLOOKUP(VALUE(B100),PROYECCIONES!B:D,3,FALSE),0)),1 + COUNTIF($A$2:A99,"&gt;0"))</f>
        <v>0</v>
      </c>
      <c r="B100" s="52" t="s">
        <v>320</v>
      </c>
      <c r="C100" s="52" t="s">
        <v>98</v>
      </c>
      <c r="D100" s="53">
        <v>0</v>
      </c>
      <c r="E100" s="53">
        <v>741669</v>
      </c>
      <c r="F100" s="53">
        <v>0</v>
      </c>
      <c r="G100" s="53">
        <v>741669</v>
      </c>
    </row>
    <row r="101" spans="1:7">
      <c r="A101">
        <f>IFERROR(IF(B101="",0,IF(VALUE(LEFT(B101,1))&gt;3,VLOOKUP(VALUE(B101),PROYECCIONES!B:D,3,FALSE),0)),1 + COUNTIF($A$2:A100,"&gt;0"))</f>
        <v>0</v>
      </c>
      <c r="B101" s="52" t="s">
        <v>484</v>
      </c>
      <c r="C101" s="52" t="s">
        <v>485</v>
      </c>
      <c r="D101" s="53">
        <v>0</v>
      </c>
      <c r="E101" s="53">
        <v>104040</v>
      </c>
      <c r="F101" s="53">
        <v>0</v>
      </c>
      <c r="G101" s="53">
        <v>104040</v>
      </c>
    </row>
    <row r="102" spans="1:7">
      <c r="A102">
        <f>IFERROR(IF(B102="",0,IF(VALUE(LEFT(B102,1))&gt;3,VLOOKUP(VALUE(B102),PROYECCIONES!B:D,3,FALSE),0)),1 + COUNTIF($A$2:A101,"&gt;0"))</f>
        <v>0</v>
      </c>
      <c r="B102" s="52" t="s">
        <v>387</v>
      </c>
      <c r="C102" s="52" t="s">
        <v>90</v>
      </c>
      <c r="D102" s="53">
        <v>0</v>
      </c>
      <c r="E102" s="53">
        <v>155220</v>
      </c>
      <c r="F102" s="53">
        <v>0</v>
      </c>
      <c r="G102" s="53">
        <v>155220</v>
      </c>
    </row>
    <row r="103" spans="1:7">
      <c r="A103">
        <f>IFERROR(IF(B103="",0,IF(VALUE(LEFT(B103,1))&gt;3,VLOOKUP(VALUE(B103),PROYECCIONES!B:D,3,FALSE),0)),1 + COUNTIF($A$2:A102,"&gt;0"))</f>
        <v>0</v>
      </c>
      <c r="B103" s="52" t="s">
        <v>321</v>
      </c>
      <c r="C103" s="52" t="s">
        <v>103</v>
      </c>
      <c r="D103" s="53">
        <v>0</v>
      </c>
      <c r="E103" s="53">
        <v>4699000</v>
      </c>
      <c r="F103" s="53">
        <v>0</v>
      </c>
      <c r="G103" s="53">
        <v>4699000</v>
      </c>
    </row>
    <row r="104" spans="1:7">
      <c r="A104">
        <f>IFERROR(IF(B104="",0,IF(VALUE(LEFT(B104,1))&gt;3,VLOOKUP(VALUE(B104),PROYECCIONES!B:D,3,FALSE),0)),1 + COUNTIF($A$2:A103,"&gt;0"))</f>
        <v>0</v>
      </c>
      <c r="B104" s="52" t="s">
        <v>322</v>
      </c>
      <c r="C104" s="52" t="s">
        <v>125</v>
      </c>
      <c r="D104" s="53">
        <v>0</v>
      </c>
      <c r="E104" s="53">
        <v>11764.7</v>
      </c>
      <c r="F104" s="53">
        <v>0</v>
      </c>
      <c r="G104" s="53">
        <v>11764.6999999993</v>
      </c>
    </row>
    <row r="105" spans="1:7">
      <c r="A105">
        <f>IFERROR(IF(B105="",0,IF(VALUE(LEFT(B105,1))&gt;3,VLOOKUP(VALUE(B105),PROYECCIONES!B:D,3,FALSE),0)),1 + COUNTIF($A$2:A104,"&gt;0"))</f>
        <v>0</v>
      </c>
      <c r="B105" s="52" t="s">
        <v>323</v>
      </c>
      <c r="C105" s="52" t="s">
        <v>126</v>
      </c>
      <c r="D105" s="53">
        <v>0</v>
      </c>
      <c r="E105" s="53">
        <v>500000</v>
      </c>
      <c r="F105" s="53">
        <v>0</v>
      </c>
      <c r="G105" s="53">
        <v>500000</v>
      </c>
    </row>
    <row r="106" spans="1:7">
      <c r="A106">
        <f>IFERROR(IF(B106="",0,IF(VALUE(LEFT(B106,1))&gt;3,VLOOKUP(VALUE(B106),PROYECCIONES!B:D,3,FALSE),0)),1 + COUNTIF($A$2:A105,"&gt;0"))</f>
        <v>0</v>
      </c>
      <c r="B106" s="52" t="s">
        <v>324</v>
      </c>
      <c r="C106" s="52" t="s">
        <v>127</v>
      </c>
      <c r="D106" s="53">
        <v>0</v>
      </c>
      <c r="E106" s="53">
        <v>92916</v>
      </c>
      <c r="F106" s="53">
        <v>0</v>
      </c>
      <c r="G106" s="53">
        <v>92916</v>
      </c>
    </row>
    <row r="107" spans="1:7">
      <c r="A107">
        <f>IFERROR(IF(B107="",0,IF(VALUE(LEFT(B107,1))&gt;3,VLOOKUP(VALUE(B107),PROYECCIONES!B:D,3,FALSE),0)),1 + COUNTIF($A$2:A106,"&gt;0"))</f>
        <v>0</v>
      </c>
      <c r="B107" s="52" t="s">
        <v>325</v>
      </c>
      <c r="C107" s="52" t="s">
        <v>128</v>
      </c>
      <c r="D107" s="53">
        <v>0</v>
      </c>
      <c r="E107" s="53">
        <v>1896000</v>
      </c>
      <c r="F107" s="53">
        <v>0</v>
      </c>
      <c r="G107" s="53">
        <v>1896000</v>
      </c>
    </row>
    <row r="108" spans="1:7">
      <c r="A108">
        <f>IFERROR(IF(B108="",0,IF(VALUE(LEFT(B108,1))&gt;3,VLOOKUP(VALUE(B108),PROYECCIONES!B:D,3,FALSE),0)),1 + COUNTIF($A$2:A107,"&gt;0"))</f>
        <v>0</v>
      </c>
      <c r="B108" s="52" t="s">
        <v>326</v>
      </c>
      <c r="C108" s="52" t="s">
        <v>129</v>
      </c>
      <c r="D108" s="53">
        <v>0</v>
      </c>
      <c r="E108" s="53">
        <v>712000</v>
      </c>
      <c r="F108" s="53">
        <v>0</v>
      </c>
      <c r="G108" s="53">
        <v>712000</v>
      </c>
    </row>
    <row r="109" spans="1:7">
      <c r="A109">
        <f>IFERROR(IF(B109="",0,IF(VALUE(LEFT(B109,1))&gt;3,VLOOKUP(VALUE(B109),PROYECCIONES!B:D,3,FALSE),0)),1 + COUNTIF($A$2:A108,"&gt;0"))</f>
        <v>0</v>
      </c>
      <c r="B109" s="52" t="s">
        <v>388</v>
      </c>
      <c r="C109" s="52" t="s">
        <v>130</v>
      </c>
      <c r="D109" s="53">
        <v>0</v>
      </c>
      <c r="E109" s="53">
        <v>657277.31000000006</v>
      </c>
      <c r="F109" s="53">
        <v>0</v>
      </c>
      <c r="G109" s="53">
        <v>657277.31000000006</v>
      </c>
    </row>
    <row r="110" spans="1:7">
      <c r="A110">
        <f>IFERROR(IF(B110="",0,IF(VALUE(LEFT(B110,1))&gt;3,VLOOKUP(VALUE(B110),PROYECCIONES!B:D,3,FALSE),0)),1 + COUNTIF($A$2:A109,"&gt;0"))</f>
        <v>0</v>
      </c>
      <c r="B110" s="52" t="s">
        <v>389</v>
      </c>
      <c r="C110" s="52" t="s">
        <v>131</v>
      </c>
      <c r="D110" s="53">
        <v>0</v>
      </c>
      <c r="E110" s="53">
        <v>7580000</v>
      </c>
      <c r="F110" s="53">
        <v>0</v>
      </c>
      <c r="G110" s="53">
        <v>7580000</v>
      </c>
    </row>
    <row r="111" spans="1:7">
      <c r="A111">
        <f>IFERROR(IF(B111="",0,IF(VALUE(LEFT(B111,1))&gt;3,VLOOKUP(VALUE(B111),PROYECCIONES!B:D,3,FALSE),0)),1 + COUNTIF($A$2:A110,"&gt;0"))</f>
        <v>0</v>
      </c>
      <c r="B111" s="52" t="s">
        <v>366</v>
      </c>
      <c r="C111" s="52" t="s">
        <v>132</v>
      </c>
      <c r="D111" s="53">
        <v>0</v>
      </c>
      <c r="E111" s="53">
        <v>500000</v>
      </c>
      <c r="F111" s="53">
        <v>0</v>
      </c>
      <c r="G111" s="53">
        <v>500000</v>
      </c>
    </row>
    <row r="112" spans="1:7">
      <c r="A112">
        <f>IFERROR(IF(B112="",0,IF(VALUE(LEFT(B112,1))&gt;3,VLOOKUP(VALUE(B112),PROYECCIONES!B:D,3,FALSE),0)),1 + COUNTIF($A$2:A111,"&gt;0"))</f>
        <v>0</v>
      </c>
      <c r="B112" s="52" t="s">
        <v>327</v>
      </c>
      <c r="C112" s="52" t="s">
        <v>133</v>
      </c>
      <c r="D112" s="53">
        <v>0</v>
      </c>
      <c r="E112" s="53">
        <v>400000</v>
      </c>
      <c r="F112" s="53">
        <v>0</v>
      </c>
      <c r="G112" s="53">
        <v>400000</v>
      </c>
    </row>
    <row r="113" spans="1:7">
      <c r="A113">
        <f>IFERROR(IF(B113="",0,IF(VALUE(LEFT(B113,1))&gt;3,VLOOKUP(VALUE(B113),PROYECCIONES!B:D,3,FALSE),0)),1 + COUNTIF($A$2:A112,"&gt;0"))</f>
        <v>0</v>
      </c>
      <c r="B113" s="52" t="s">
        <v>328</v>
      </c>
      <c r="C113" s="52" t="s">
        <v>110</v>
      </c>
      <c r="D113" s="53">
        <v>0</v>
      </c>
      <c r="E113" s="53">
        <v>842907.12</v>
      </c>
      <c r="F113" s="53">
        <v>0</v>
      </c>
      <c r="G113" s="53">
        <v>842907.11999999895</v>
      </c>
    </row>
    <row r="114" spans="1:7">
      <c r="A114">
        <f>IFERROR(IF(B114="",0,IF(VALUE(LEFT(B114,1))&gt;3,VLOOKUP(VALUE(B114),PROYECCIONES!B:D,3,FALSE),0)),1 + COUNTIF($A$2:A113,"&gt;0"))</f>
        <v>0</v>
      </c>
      <c r="B114" s="52" t="s">
        <v>412</v>
      </c>
      <c r="C114" s="52" t="s">
        <v>198</v>
      </c>
      <c r="D114" s="53">
        <v>0</v>
      </c>
      <c r="E114" s="53">
        <v>27646.09</v>
      </c>
      <c r="F114" s="53">
        <v>0</v>
      </c>
      <c r="G114" s="53">
        <v>27646.09</v>
      </c>
    </row>
    <row r="115" spans="1:7">
      <c r="A115">
        <f>IFERROR(IF(B115="",0,IF(VALUE(LEFT(B115,1))&gt;3,VLOOKUP(VALUE(B115),PROYECCIONES!B:D,3,FALSE),0)),1 + COUNTIF($A$2:A114,"&gt;0"))</f>
        <v>0</v>
      </c>
      <c r="B115" s="52" t="s">
        <v>329</v>
      </c>
      <c r="C115" s="52" t="s">
        <v>135</v>
      </c>
      <c r="D115" s="53">
        <v>-4.65661287307739E-10</v>
      </c>
      <c r="E115" s="53">
        <v>118538.63</v>
      </c>
      <c r="F115" s="53">
        <v>0</v>
      </c>
      <c r="G115" s="53">
        <v>118538.629999999</v>
      </c>
    </row>
    <row r="116" spans="1:7">
      <c r="A116">
        <f>IFERROR(IF(B116="",0,IF(VALUE(LEFT(B116,1))&gt;3,VLOOKUP(VALUE(B116),PROYECCIONES!B:D,3,FALSE),0)),1 + COUNTIF($A$2:A115,"&gt;0"))</f>
        <v>0</v>
      </c>
      <c r="B116" s="52" t="s">
        <v>330</v>
      </c>
      <c r="C116" s="52" t="s">
        <v>136</v>
      </c>
      <c r="D116" s="53">
        <v>0</v>
      </c>
      <c r="E116" s="53">
        <v>3839304</v>
      </c>
      <c r="F116" s="53">
        <v>0</v>
      </c>
      <c r="G116" s="53">
        <v>3839304</v>
      </c>
    </row>
    <row r="117" spans="1:7">
      <c r="A117">
        <f>IFERROR(IF(B117="",0,IF(VALUE(LEFT(B117,1))&gt;3,VLOOKUP(VALUE(B117),PROYECCIONES!B:D,3,FALSE),0)),1 + COUNTIF($A$2:A116,"&gt;0"))</f>
        <v>0</v>
      </c>
      <c r="B117" s="52" t="s">
        <v>331</v>
      </c>
      <c r="C117" s="52" t="s">
        <v>137</v>
      </c>
      <c r="D117" s="53">
        <v>0</v>
      </c>
      <c r="E117" s="53">
        <v>2484398</v>
      </c>
      <c r="F117" s="53">
        <v>0</v>
      </c>
      <c r="G117" s="53">
        <v>2484398</v>
      </c>
    </row>
    <row r="118" spans="1:7">
      <c r="A118">
        <f>IFERROR(IF(B118="",0,IF(VALUE(LEFT(B118,1))&gt;3,VLOOKUP(VALUE(B118),PROYECCIONES!B:D,3,FALSE),0)),1 + COUNTIF($A$2:A117,"&gt;0"))</f>
        <v>0</v>
      </c>
      <c r="B118" s="52" t="s">
        <v>332</v>
      </c>
      <c r="C118" s="52" t="s">
        <v>139</v>
      </c>
      <c r="D118" s="53">
        <v>0</v>
      </c>
      <c r="E118" s="53">
        <v>535274.29</v>
      </c>
      <c r="F118" s="53">
        <v>0</v>
      </c>
      <c r="G118" s="53">
        <v>535274.29</v>
      </c>
    </row>
    <row r="119" spans="1:7">
      <c r="A119">
        <f>IFERROR(IF(B119="",0,IF(VALUE(LEFT(B119,1))&gt;3,VLOOKUP(VALUE(B119),PROYECCIONES!B:D,3,FALSE),0)),1 + COUNTIF($A$2:A118,"&gt;0"))</f>
        <v>0</v>
      </c>
      <c r="B119" s="52" t="s">
        <v>333</v>
      </c>
      <c r="C119" s="52" t="s">
        <v>140</v>
      </c>
      <c r="D119" s="53">
        <v>-2.3283064365386999E-10</v>
      </c>
      <c r="E119" s="53">
        <v>8533.52</v>
      </c>
      <c r="F119" s="53">
        <v>0</v>
      </c>
      <c r="G119" s="53">
        <v>8533.5199999997894</v>
      </c>
    </row>
    <row r="120" spans="1:7">
      <c r="A120">
        <f>IFERROR(IF(B120="",0,IF(VALUE(LEFT(B120,1))&gt;3,VLOOKUP(VALUE(B120),PROYECCIONES!B:D,3,FALSE),0)),1 + COUNTIF($A$2:A119,"&gt;0"))</f>
        <v>0</v>
      </c>
      <c r="B120" s="52" t="s">
        <v>334</v>
      </c>
      <c r="C120" s="52" t="s">
        <v>141</v>
      </c>
      <c r="D120" s="53">
        <v>0</v>
      </c>
      <c r="E120" s="53">
        <v>3550000</v>
      </c>
      <c r="F120" s="53">
        <v>0</v>
      </c>
      <c r="G120" s="53">
        <v>3550000</v>
      </c>
    </row>
    <row r="121" spans="1:7">
      <c r="A121">
        <f>IFERROR(IF(B121="",0,IF(VALUE(LEFT(B121,1))&gt;3,VLOOKUP(VALUE(B121),PROYECCIONES!B:D,3,FALSE),0)),1 + COUNTIF($A$2:A120,"&gt;0"))</f>
        <v>0</v>
      </c>
      <c r="B121" s="52" t="s">
        <v>335</v>
      </c>
      <c r="C121" s="52" t="s">
        <v>143</v>
      </c>
      <c r="D121" s="53">
        <v>0</v>
      </c>
      <c r="E121" s="53">
        <v>120292</v>
      </c>
      <c r="F121" s="53">
        <v>0</v>
      </c>
      <c r="G121" s="53">
        <v>120292</v>
      </c>
    </row>
    <row r="122" spans="1:7">
      <c r="A122">
        <f>IFERROR(IF(B122="",0,IF(VALUE(LEFT(B122,1))&gt;3,VLOOKUP(VALUE(B122),PROYECCIONES!B:D,3,FALSE),0)),1 + COUNTIF($A$2:A121,"&gt;0"))</f>
        <v>0</v>
      </c>
      <c r="B122" s="52" t="s">
        <v>336</v>
      </c>
      <c r="C122" s="52" t="s">
        <v>144</v>
      </c>
      <c r="D122" s="53">
        <v>0</v>
      </c>
      <c r="E122" s="53">
        <v>598989.39</v>
      </c>
      <c r="F122" s="53">
        <v>0</v>
      </c>
      <c r="G122" s="53">
        <v>598989.39</v>
      </c>
    </row>
    <row r="123" spans="1:7">
      <c r="A123">
        <f>IFERROR(IF(B123="",0,IF(VALUE(LEFT(B123,1))&gt;3,VLOOKUP(VALUE(B123),PROYECCIONES!B:D,3,FALSE),0)),1 + COUNTIF($A$2:A122,"&gt;0"))</f>
        <v>0</v>
      </c>
      <c r="B123" s="52" t="s">
        <v>367</v>
      </c>
      <c r="C123" s="52" t="s">
        <v>145</v>
      </c>
      <c r="D123" s="53">
        <v>0</v>
      </c>
      <c r="E123" s="53">
        <v>122291</v>
      </c>
      <c r="F123" s="53">
        <v>0</v>
      </c>
      <c r="G123" s="53">
        <v>122291</v>
      </c>
    </row>
    <row r="124" spans="1:7">
      <c r="A124">
        <f>IFERROR(IF(B124="",0,IF(VALUE(LEFT(B124,1))&gt;3,VLOOKUP(VALUE(B124),PROYECCIONES!B:D,3,FALSE),0)),1 + COUNTIF($A$2:A123,"&gt;0"))</f>
        <v>0</v>
      </c>
      <c r="B124" s="52" t="s">
        <v>337</v>
      </c>
      <c r="C124" s="52" t="s">
        <v>146</v>
      </c>
      <c r="D124" s="53">
        <v>0</v>
      </c>
      <c r="E124" s="53">
        <v>808433.04</v>
      </c>
      <c r="F124" s="53">
        <v>0</v>
      </c>
      <c r="G124" s="53">
        <v>808433.04</v>
      </c>
    </row>
    <row r="125" spans="1:7">
      <c r="A125">
        <f>IFERROR(IF(B125="",0,IF(VALUE(LEFT(B125,1))&gt;3,VLOOKUP(VALUE(B125),PROYECCIONES!B:D,3,FALSE),0)),1 + COUNTIF($A$2:A124,"&gt;0"))</f>
        <v>0</v>
      </c>
      <c r="B125" s="52" t="s">
        <v>338</v>
      </c>
      <c r="C125" s="52" t="s">
        <v>147</v>
      </c>
      <c r="D125" s="53">
        <v>0</v>
      </c>
      <c r="E125" s="53">
        <v>34050</v>
      </c>
      <c r="F125" s="53">
        <v>0</v>
      </c>
      <c r="G125" s="53">
        <v>34050</v>
      </c>
    </row>
    <row r="126" spans="1:7">
      <c r="A126">
        <f>IFERROR(IF(B126="",0,IF(VALUE(LEFT(B126,1))&gt;3,VLOOKUP(VALUE(B126),PROYECCIONES!B:D,3,FALSE),0)),1 + COUNTIF($A$2:A125,"&gt;0"))</f>
        <v>0</v>
      </c>
      <c r="B126" s="52" t="s">
        <v>339</v>
      </c>
      <c r="C126" s="52" t="s">
        <v>148</v>
      </c>
      <c r="D126" s="53">
        <v>0</v>
      </c>
      <c r="E126" s="53">
        <v>312513</v>
      </c>
      <c r="F126" s="53">
        <v>0</v>
      </c>
      <c r="G126" s="53">
        <v>312513</v>
      </c>
    </row>
    <row r="127" spans="1:7">
      <c r="A127">
        <f>IFERROR(IF(B127="",0,IF(VALUE(LEFT(B127,1))&gt;3,VLOOKUP(VALUE(B127),PROYECCIONES!B:D,3,FALSE),0)),1 + COUNTIF($A$2:A126,"&gt;0"))</f>
        <v>0</v>
      </c>
      <c r="B127" s="52" t="s">
        <v>340</v>
      </c>
      <c r="C127" s="52" t="s">
        <v>149</v>
      </c>
      <c r="D127" s="53">
        <v>0</v>
      </c>
      <c r="E127" s="53">
        <v>500000</v>
      </c>
      <c r="F127" s="53">
        <v>0</v>
      </c>
      <c r="G127" s="53">
        <v>500000</v>
      </c>
    </row>
    <row r="128" spans="1:7">
      <c r="A128">
        <f>IFERROR(IF(B128="",0,IF(VALUE(LEFT(B128,1))&gt;3,VLOOKUP(VALUE(B128),PROYECCIONES!B:D,3,FALSE),0)),1 + COUNTIF($A$2:A127,"&gt;0"))</f>
        <v>0</v>
      </c>
      <c r="B128" s="52" t="s">
        <v>390</v>
      </c>
      <c r="C128" s="52" t="s">
        <v>201</v>
      </c>
      <c r="D128" s="53">
        <v>0</v>
      </c>
      <c r="E128" s="53">
        <v>1241779.67</v>
      </c>
      <c r="F128" s="53">
        <v>0</v>
      </c>
      <c r="G128" s="53">
        <v>1241779.67</v>
      </c>
    </row>
    <row r="129" spans="1:7">
      <c r="A129">
        <f>IFERROR(IF(B129="",0,IF(VALUE(LEFT(B129,1))&gt;3,VLOOKUP(VALUE(B129),PROYECCIONES!B:D,3,FALSE),0)),1 + COUNTIF($A$2:A128,"&gt;0"))</f>
        <v>0</v>
      </c>
      <c r="B129" s="52" t="s">
        <v>391</v>
      </c>
      <c r="C129" s="52" t="s">
        <v>104</v>
      </c>
      <c r="D129" s="53">
        <v>0</v>
      </c>
      <c r="E129" s="53">
        <v>1743000</v>
      </c>
      <c r="F129" s="53">
        <v>0</v>
      </c>
      <c r="G129" s="53">
        <v>1743000</v>
      </c>
    </row>
    <row r="130" spans="1:7">
      <c r="A130">
        <f>IFERROR(IF(B130="",0,IF(VALUE(LEFT(B130,1))&gt;3,VLOOKUP(VALUE(B130),PROYECCIONES!B:D,3,FALSE),0)),1 + COUNTIF($A$2:A129,"&gt;0"))</f>
        <v>0</v>
      </c>
      <c r="B130" s="52" t="s">
        <v>414</v>
      </c>
      <c r="C130" s="52" t="s">
        <v>202</v>
      </c>
      <c r="D130" s="53">
        <v>0</v>
      </c>
      <c r="E130" s="53">
        <v>378151</v>
      </c>
      <c r="F130" s="53">
        <v>0</v>
      </c>
      <c r="G130" s="53">
        <v>378151</v>
      </c>
    </row>
    <row r="131" spans="1:7">
      <c r="A131">
        <f>IFERROR(IF(B131="",0,IF(VALUE(LEFT(B131,1))&gt;3,VLOOKUP(VALUE(B131),PROYECCIONES!B:D,3,FALSE),0)),1 + COUNTIF($A$2:A130,"&gt;0"))</f>
        <v>0</v>
      </c>
      <c r="B131" s="52" t="s">
        <v>341</v>
      </c>
      <c r="C131" s="52" t="s">
        <v>154</v>
      </c>
      <c r="D131" s="53">
        <v>0</v>
      </c>
      <c r="E131" s="53">
        <v>600000</v>
      </c>
      <c r="F131" s="53">
        <v>0</v>
      </c>
      <c r="G131" s="53">
        <v>600000</v>
      </c>
    </row>
    <row r="132" spans="1:7">
      <c r="A132">
        <f>IFERROR(IF(B132="",0,IF(VALUE(LEFT(B132,1))&gt;3,VLOOKUP(VALUE(B132),PROYECCIONES!B:D,3,FALSE),0)),1 + COUNTIF($A$2:A131,"&gt;0"))</f>
        <v>0</v>
      </c>
      <c r="B132" s="52" t="s">
        <v>392</v>
      </c>
      <c r="C132" s="52" t="s">
        <v>155</v>
      </c>
      <c r="D132" s="53">
        <v>0</v>
      </c>
      <c r="E132" s="53">
        <v>840337.31</v>
      </c>
      <c r="F132" s="53">
        <v>0</v>
      </c>
      <c r="G132" s="53">
        <v>840337.31</v>
      </c>
    </row>
    <row r="133" spans="1:7">
      <c r="A133">
        <f>IFERROR(IF(B133="",0,IF(VALUE(LEFT(B133,1))&gt;3,VLOOKUP(VALUE(B133),PROYECCIONES!B:D,3,FALSE),0)),1 + COUNTIF($A$2:A132,"&gt;0"))</f>
        <v>0</v>
      </c>
      <c r="B133" s="52" t="s">
        <v>342</v>
      </c>
      <c r="C133" s="52" t="s">
        <v>156</v>
      </c>
      <c r="D133" s="53">
        <v>0</v>
      </c>
      <c r="E133" s="53">
        <v>8419978.8200000003</v>
      </c>
      <c r="F133" s="53">
        <v>0</v>
      </c>
      <c r="G133" s="53">
        <v>8419978.8200000003</v>
      </c>
    </row>
    <row r="134" spans="1:7">
      <c r="A134">
        <f>IFERROR(IF(B134="",0,IF(VALUE(LEFT(B134,1))&gt;3,VLOOKUP(VALUE(B134),PROYECCIONES!B:D,3,FALSE),0)),1 + COUNTIF($A$2:A133,"&gt;0"))</f>
        <v>0</v>
      </c>
      <c r="B134" s="52" t="s">
        <v>343</v>
      </c>
      <c r="C134" s="52" t="s">
        <v>157</v>
      </c>
      <c r="D134" s="53">
        <v>0</v>
      </c>
      <c r="E134" s="53">
        <v>450000</v>
      </c>
      <c r="F134" s="53">
        <v>0</v>
      </c>
      <c r="G134" s="53">
        <v>450000</v>
      </c>
    </row>
    <row r="135" spans="1:7">
      <c r="A135">
        <f>IFERROR(IF(B135="",0,IF(VALUE(LEFT(B135,1))&gt;3,VLOOKUP(VALUE(B135),PROYECCIONES!B:D,3,FALSE),0)),1 + COUNTIF($A$2:A134,"&gt;0"))</f>
        <v>0</v>
      </c>
      <c r="B135" s="52" t="s">
        <v>344</v>
      </c>
      <c r="C135" s="52" t="s">
        <v>160</v>
      </c>
      <c r="D135" s="53">
        <v>-1.8626451492309599E-9</v>
      </c>
      <c r="E135" s="53">
        <v>634914.84</v>
      </c>
      <c r="F135" s="53">
        <v>0</v>
      </c>
      <c r="G135" s="53">
        <v>634914.83999999799</v>
      </c>
    </row>
    <row r="136" spans="1:7">
      <c r="A136">
        <f>IFERROR(IF(B136="",0,IF(VALUE(LEFT(B136,1))&gt;3,VLOOKUP(VALUE(B136),PROYECCIONES!B:D,3,FALSE),0)),1 + COUNTIF($A$2:A135,"&gt;0"))</f>
        <v>0</v>
      </c>
      <c r="B136" s="52" t="s">
        <v>345</v>
      </c>
      <c r="C136" s="52" t="s">
        <v>162</v>
      </c>
      <c r="D136" s="53">
        <v>1.8626451492309599E-9</v>
      </c>
      <c r="E136" s="53">
        <v>1537250.01</v>
      </c>
      <c r="F136" s="53">
        <v>0</v>
      </c>
      <c r="G136" s="53">
        <v>1537250.01</v>
      </c>
    </row>
    <row r="137" spans="1:7">
      <c r="A137">
        <f>IFERROR(IF(B137="",0,IF(VALUE(LEFT(B137,1))&gt;3,VLOOKUP(VALUE(B137),PROYECCIONES!B:D,3,FALSE),0)),1 + COUNTIF($A$2:A136,"&gt;0"))</f>
        <v>0</v>
      </c>
      <c r="B137" s="52" t="s">
        <v>368</v>
      </c>
      <c r="C137" s="52" t="s">
        <v>163</v>
      </c>
      <c r="D137" s="53">
        <v>0</v>
      </c>
      <c r="E137" s="53">
        <v>599900</v>
      </c>
      <c r="F137" s="53">
        <v>0</v>
      </c>
      <c r="G137" s="53">
        <v>599900</v>
      </c>
    </row>
    <row r="138" spans="1:7">
      <c r="A138">
        <f>IFERROR(IF(B138="",0,IF(VALUE(LEFT(B138,1))&gt;3,VLOOKUP(VALUE(B138),PROYECCIONES!B:D,3,FALSE),0)),1 + COUNTIF($A$2:A137,"&gt;0"))</f>
        <v>0</v>
      </c>
      <c r="B138" s="52" t="s">
        <v>393</v>
      </c>
      <c r="C138" s="52" t="s">
        <v>164</v>
      </c>
      <c r="D138" s="53">
        <v>0</v>
      </c>
      <c r="E138" s="53">
        <v>5400000</v>
      </c>
      <c r="F138" s="53">
        <v>0</v>
      </c>
      <c r="G138" s="53">
        <v>5400000</v>
      </c>
    </row>
    <row r="139" spans="1:7">
      <c r="A139">
        <f>IFERROR(IF(B139="",0,IF(VALUE(LEFT(B139,1))&gt;3,VLOOKUP(VALUE(B139),PROYECCIONES!B:D,3,FALSE),0)),1 + COUNTIF($A$2:A138,"&gt;0"))</f>
        <v>0</v>
      </c>
      <c r="B139" s="52" t="s">
        <v>369</v>
      </c>
      <c r="C139" s="52" t="s">
        <v>165</v>
      </c>
      <c r="D139" s="53">
        <v>-2.3283064365386999E-10</v>
      </c>
      <c r="E139" s="53">
        <v>350186</v>
      </c>
      <c r="F139" s="53">
        <v>0</v>
      </c>
      <c r="G139" s="53">
        <v>350186</v>
      </c>
    </row>
    <row r="140" spans="1:7">
      <c r="A140">
        <f>IFERROR(IF(B140="",0,IF(VALUE(LEFT(B140,1))&gt;3,VLOOKUP(VALUE(B140),PROYECCIONES!B:D,3,FALSE),0)),1 + COUNTIF($A$2:A139,"&gt;0"))</f>
        <v>0</v>
      </c>
      <c r="B140" s="52" t="s">
        <v>346</v>
      </c>
      <c r="C140" s="52" t="s">
        <v>166</v>
      </c>
      <c r="D140" s="53">
        <v>2.3283064365386999E-10</v>
      </c>
      <c r="E140" s="53">
        <v>178373</v>
      </c>
      <c r="F140" s="53">
        <v>0</v>
      </c>
      <c r="G140" s="53">
        <v>178373</v>
      </c>
    </row>
    <row r="141" spans="1:7">
      <c r="A141">
        <f>IFERROR(IF(B141="",0,IF(VALUE(LEFT(B141,1))&gt;3,VLOOKUP(VALUE(B141),PROYECCIONES!B:D,3,FALSE),0)),1 + COUNTIF($A$2:A140,"&gt;0"))</f>
        <v>0</v>
      </c>
      <c r="B141" s="52" t="s">
        <v>347</v>
      </c>
      <c r="C141" s="52" t="s">
        <v>167</v>
      </c>
      <c r="D141" s="53">
        <v>1.8626451492309599E-9</v>
      </c>
      <c r="E141" s="53">
        <v>51262</v>
      </c>
      <c r="F141" s="53">
        <v>0</v>
      </c>
      <c r="G141" s="53">
        <v>51262.000000001899</v>
      </c>
    </row>
    <row r="142" spans="1:7">
      <c r="A142">
        <f>IFERROR(IF(B142="",0,IF(VALUE(LEFT(B142,1))&gt;3,VLOOKUP(VALUE(B142),PROYECCIONES!B:D,3,FALSE),0)),1 + COUNTIF($A$2:A141,"&gt;0"))</f>
        <v>0</v>
      </c>
      <c r="B142" s="52" t="s">
        <v>394</v>
      </c>
      <c r="C142" s="52" t="s">
        <v>168</v>
      </c>
      <c r="D142" s="53">
        <v>0</v>
      </c>
      <c r="E142" s="53">
        <v>110000</v>
      </c>
      <c r="F142" s="53">
        <v>0</v>
      </c>
      <c r="G142" s="53">
        <v>110000</v>
      </c>
    </row>
    <row r="143" spans="1:7">
      <c r="A143">
        <f>IFERROR(IF(B143="",0,IF(VALUE(LEFT(B143,1))&gt;3,VLOOKUP(VALUE(B143),PROYECCIONES!B:D,3,FALSE),0)),1 + COUNTIF($A$2:A142,"&gt;0"))</f>
        <v>0</v>
      </c>
      <c r="B143" s="52" t="s">
        <v>442</v>
      </c>
      <c r="C143" s="52" t="s">
        <v>443</v>
      </c>
      <c r="D143" s="53">
        <v>0</v>
      </c>
      <c r="E143" s="53">
        <v>5000</v>
      </c>
      <c r="F143" s="53">
        <v>0</v>
      </c>
      <c r="G143" s="53">
        <v>5000</v>
      </c>
    </row>
    <row r="144" spans="1:7">
      <c r="A144">
        <f>IFERROR(IF(B144="",0,IF(VALUE(LEFT(B144,1))&gt;3,VLOOKUP(VALUE(B144),PROYECCIONES!B:D,3,FALSE),0)),1 + COUNTIF($A$2:A143,"&gt;0"))</f>
        <v>0</v>
      </c>
      <c r="B144" s="52" t="s">
        <v>348</v>
      </c>
      <c r="C144" s="52" t="s">
        <v>106</v>
      </c>
      <c r="D144" s="53">
        <v>0</v>
      </c>
      <c r="E144" s="53">
        <v>1218687</v>
      </c>
      <c r="F144" s="53">
        <v>0</v>
      </c>
      <c r="G144" s="53">
        <v>1218687</v>
      </c>
    </row>
    <row r="145" spans="1:7">
      <c r="A145">
        <f>IFERROR(IF(B145="",0,IF(VALUE(LEFT(B145,1))&gt;3,VLOOKUP(VALUE(B145),PROYECCIONES!B:D,3,FALSE),0)),1 + COUNTIF($A$2:A144,"&gt;0"))</f>
        <v>0</v>
      </c>
      <c r="B145" s="52" t="s">
        <v>370</v>
      </c>
      <c r="C145" s="52" t="s">
        <v>169</v>
      </c>
      <c r="D145" s="53">
        <v>0</v>
      </c>
      <c r="E145" s="53">
        <v>9810.5400000000009</v>
      </c>
      <c r="F145" s="53">
        <v>0</v>
      </c>
      <c r="G145" s="53">
        <v>9810.5400000000009</v>
      </c>
    </row>
    <row r="146" spans="1:7">
      <c r="A146">
        <f>IFERROR(IF(B146="",0,IF(VALUE(LEFT(B146,1))&gt;3,VLOOKUP(VALUE(B146),PROYECCIONES!B:D,3,FALSE),0)),1 + COUNTIF($A$2:A145,"&gt;0"))</f>
        <v>0</v>
      </c>
      <c r="B146" s="52" t="s">
        <v>371</v>
      </c>
      <c r="C146" s="52" t="s">
        <v>197</v>
      </c>
      <c r="D146" s="53">
        <v>0</v>
      </c>
      <c r="E146" s="53">
        <v>70000</v>
      </c>
      <c r="F146" s="53">
        <v>0</v>
      </c>
      <c r="G146" s="53">
        <v>70000</v>
      </c>
    </row>
    <row r="147" spans="1:7">
      <c r="A147">
        <f>IFERROR(IF(B147="",0,IF(VALUE(LEFT(B147,1))&gt;3,VLOOKUP(VALUE(B147),PROYECCIONES!B:D,3,FALSE),0)),1 + COUNTIF($A$2:A146,"&gt;0"))</f>
        <v>0</v>
      </c>
      <c r="B147" s="52" t="s">
        <v>349</v>
      </c>
      <c r="C147" s="52" t="s">
        <v>170</v>
      </c>
      <c r="D147" s="53">
        <v>-2.2351741790771501E-8</v>
      </c>
      <c r="E147" s="53">
        <v>5496425.7800000003</v>
      </c>
      <c r="F147" s="53">
        <v>0</v>
      </c>
      <c r="G147" s="53">
        <v>5496425.7799999705</v>
      </c>
    </row>
    <row r="148" spans="1:7">
      <c r="A148">
        <f>IFERROR(IF(B148="",0,IF(VALUE(LEFT(B148,1))&gt;3,VLOOKUP(VALUE(B148),PROYECCIONES!B:D,3,FALSE),0)),1 + COUNTIF($A$2:A147,"&gt;0"))</f>
        <v>0</v>
      </c>
      <c r="B148" s="52" t="s">
        <v>533</v>
      </c>
      <c r="C148" s="52" t="s">
        <v>534</v>
      </c>
      <c r="D148" s="53">
        <v>0</v>
      </c>
      <c r="E148" s="53">
        <v>217245</v>
      </c>
      <c r="F148" s="53">
        <v>0</v>
      </c>
      <c r="G148" s="53">
        <v>217245</v>
      </c>
    </row>
    <row r="149" spans="1:7">
      <c r="A149">
        <f>IFERROR(IF(B149="",0,IF(VALUE(LEFT(B149,1))&gt;3,VLOOKUP(VALUE(B149),PROYECCIONES!B:D,3,FALSE),0)),1 + COUNTIF($A$2:A148,"&gt;0"))</f>
        <v>0</v>
      </c>
      <c r="B149" s="52" t="s">
        <v>466</v>
      </c>
      <c r="C149" s="52" t="s">
        <v>467</v>
      </c>
      <c r="D149" s="53">
        <v>0</v>
      </c>
      <c r="E149" s="53">
        <v>8000</v>
      </c>
      <c r="F149" s="53">
        <v>0</v>
      </c>
      <c r="G149" s="53">
        <v>8000</v>
      </c>
    </row>
    <row r="150" spans="1:7">
      <c r="A150">
        <f>IFERROR(IF(B150="",0,IF(VALUE(LEFT(B150,1))&gt;3,VLOOKUP(VALUE(B150),PROYECCIONES!B:D,3,FALSE),0)),1 + COUNTIF($A$2:A149,"&gt;0"))</f>
        <v>0</v>
      </c>
      <c r="B150" s="52" t="s">
        <v>350</v>
      </c>
      <c r="C150" s="52" t="s">
        <v>174</v>
      </c>
      <c r="D150" s="53">
        <v>0</v>
      </c>
      <c r="E150" s="53">
        <v>2454370</v>
      </c>
      <c r="F150" s="53">
        <v>0</v>
      </c>
      <c r="G150" s="53">
        <v>2454370</v>
      </c>
    </row>
    <row r="151" spans="1:7">
      <c r="A151">
        <f>IFERROR(IF(B151="",0,IF(VALUE(LEFT(B151,1))&gt;3,VLOOKUP(VALUE(B151),PROYECCIONES!B:D,3,FALSE),0)),1 + COUNTIF($A$2:A150,"&gt;0"))</f>
        <v>0</v>
      </c>
      <c r="B151" s="52" t="s">
        <v>422</v>
      </c>
      <c r="C151" s="52" t="s">
        <v>423</v>
      </c>
      <c r="D151" s="53">
        <v>0</v>
      </c>
      <c r="E151" s="53">
        <v>918773.31</v>
      </c>
      <c r="F151" s="53">
        <v>0</v>
      </c>
      <c r="G151" s="53">
        <v>918773.31</v>
      </c>
    </row>
    <row r="152" spans="1:7">
      <c r="A152">
        <f>IFERROR(IF(B152="",0,IF(VALUE(LEFT(B152,1))&gt;3,VLOOKUP(VALUE(B152),PROYECCIONES!B:D,3,FALSE),0)),1 + COUNTIF($A$2:A151,"&gt;0"))</f>
        <v>0</v>
      </c>
      <c r="B152" s="52" t="s">
        <v>351</v>
      </c>
      <c r="C152" s="52" t="s">
        <v>178</v>
      </c>
      <c r="D152" s="53">
        <v>0</v>
      </c>
      <c r="E152" s="53">
        <v>311611.93</v>
      </c>
      <c r="F152" s="53">
        <v>0</v>
      </c>
      <c r="G152" s="53">
        <v>311611.93</v>
      </c>
    </row>
    <row r="153" spans="1:7">
      <c r="A153">
        <f>IFERROR(IF(B153="",0,IF(VALUE(LEFT(B153,1))&gt;3,VLOOKUP(VALUE(B153),PROYECCIONES!B:D,3,FALSE),0)),1 + COUNTIF($A$2:A152,"&gt;0"))</f>
        <v>0</v>
      </c>
      <c r="B153" s="52" t="s">
        <v>352</v>
      </c>
      <c r="C153" s="52" t="s">
        <v>179</v>
      </c>
      <c r="D153" s="53">
        <v>0</v>
      </c>
      <c r="E153" s="53">
        <v>257191</v>
      </c>
      <c r="F153" s="53">
        <v>0</v>
      </c>
      <c r="G153" s="53">
        <v>257191</v>
      </c>
    </row>
    <row r="154" spans="1:7">
      <c r="A154">
        <f>IFERROR(IF(B154="",0,IF(VALUE(LEFT(B154,1))&gt;3,VLOOKUP(VALUE(B154),PROYECCIONES!B:D,3,FALSE),0)),1 + COUNTIF($A$2:A153,"&gt;0"))</f>
        <v>0</v>
      </c>
      <c r="B154" s="52" t="s">
        <v>397</v>
      </c>
      <c r="C154" s="52" t="s">
        <v>180</v>
      </c>
      <c r="D154" s="53">
        <v>0</v>
      </c>
      <c r="E154" s="53">
        <v>1541154</v>
      </c>
      <c r="F154" s="53">
        <v>0</v>
      </c>
      <c r="G154" s="53">
        <v>1541154</v>
      </c>
    </row>
    <row r="155" spans="1:7">
      <c r="A155">
        <f>IFERROR(IF(B155="",0,IF(VALUE(LEFT(B155,1))&gt;3,VLOOKUP(VALUE(B155),PROYECCIONES!B:D,3,FALSE),0)),1 + COUNTIF($A$2:A154,"&gt;0"))</f>
        <v>0</v>
      </c>
      <c r="B155" s="52" t="s">
        <v>353</v>
      </c>
      <c r="C155" s="52" t="s">
        <v>181</v>
      </c>
      <c r="D155" s="53">
        <v>0</v>
      </c>
      <c r="E155" s="53">
        <v>48840.800000000003</v>
      </c>
      <c r="F155" s="53">
        <v>0</v>
      </c>
      <c r="G155" s="53">
        <v>48840.800000000003</v>
      </c>
    </row>
    <row r="156" spans="1:7">
      <c r="A156">
        <f>IFERROR(IF(B156="",0,IF(VALUE(LEFT(B156,1))&gt;3,VLOOKUP(VALUE(B156),PROYECCIONES!B:D,3,FALSE),0)),1 + COUNTIF($A$2:A155,"&gt;0"))</f>
        <v>0</v>
      </c>
      <c r="B156" s="52" t="s">
        <v>535</v>
      </c>
      <c r="C156" s="52" t="s">
        <v>183</v>
      </c>
      <c r="D156" s="53">
        <v>0</v>
      </c>
      <c r="E156" s="53">
        <v>270777.77</v>
      </c>
      <c r="F156" s="53">
        <v>0</v>
      </c>
      <c r="G156" s="53">
        <v>270777.77</v>
      </c>
    </row>
    <row r="157" spans="1:7">
      <c r="A157">
        <f>IFERROR(IF(B157="",0,IF(VALUE(LEFT(B157,1))&gt;3,VLOOKUP(VALUE(B157),PROYECCIONES!B:D,3,FALSE),0)),1 + COUNTIF($A$2:A156,"&gt;0"))</f>
        <v>0</v>
      </c>
      <c r="B157" s="52" t="s">
        <v>354</v>
      </c>
      <c r="C157" s="52" t="s">
        <v>107</v>
      </c>
      <c r="D157" s="53">
        <v>0</v>
      </c>
      <c r="E157" s="53">
        <v>31068.59</v>
      </c>
      <c r="F157" s="53">
        <v>0</v>
      </c>
      <c r="G157" s="53">
        <v>31068.590000000098</v>
      </c>
    </row>
    <row r="158" spans="1:7">
      <c r="A158">
        <f>IFERROR(IF(B158="",0,IF(VALUE(LEFT(B158,1))&gt;3,VLOOKUP(VALUE(B158),PROYECCIONES!B:D,3,FALSE),0)),1 + COUNTIF($A$2:A157,"&gt;0"))</f>
        <v>0</v>
      </c>
      <c r="B158" s="52" t="s">
        <v>372</v>
      </c>
      <c r="C158" s="52" t="s">
        <v>184</v>
      </c>
      <c r="D158" s="53">
        <v>0</v>
      </c>
      <c r="E158" s="53">
        <v>182000</v>
      </c>
      <c r="F158" s="53">
        <v>0</v>
      </c>
      <c r="G158" s="53">
        <v>182000</v>
      </c>
    </row>
    <row r="159" spans="1:7">
      <c r="A159">
        <f>IFERROR(IF(B159="",0,IF(VALUE(LEFT(B159,1))&gt;3,VLOOKUP(VALUE(B159),PROYECCIONES!B:D,3,FALSE),0)),1 + COUNTIF($A$2:A158,"&gt;0"))</f>
        <v>0</v>
      </c>
      <c r="B159" s="52" t="s">
        <v>355</v>
      </c>
      <c r="C159" s="52" t="s">
        <v>185</v>
      </c>
      <c r="D159" s="53">
        <v>0</v>
      </c>
      <c r="E159" s="53">
        <v>450000</v>
      </c>
      <c r="F159" s="53">
        <v>0</v>
      </c>
      <c r="G159" s="53">
        <v>450000</v>
      </c>
    </row>
    <row r="160" spans="1:7">
      <c r="A160">
        <f>IFERROR(IF(B160="",0,IF(VALUE(LEFT(B160,1))&gt;3,VLOOKUP(VALUE(B160),PROYECCIONES!B:D,3,FALSE),0)),1 + COUNTIF($A$2:A159,"&gt;0"))</f>
        <v>0</v>
      </c>
      <c r="B160" s="52" t="s">
        <v>356</v>
      </c>
      <c r="C160" s="52" t="s">
        <v>99</v>
      </c>
      <c r="D160" s="53">
        <v>-3.4924596548080398E-10</v>
      </c>
      <c r="E160" s="53">
        <v>921.19</v>
      </c>
      <c r="F160" s="53">
        <v>167.54</v>
      </c>
      <c r="G160" s="53">
        <v>753.64999999967404</v>
      </c>
    </row>
    <row r="161" spans="1:7">
      <c r="A161">
        <f>IFERROR(IF(B161="",0,IF(VALUE(LEFT(B161,1))&gt;3,VLOOKUP(VALUE(B161),PROYECCIONES!B:D,3,FALSE),0)),1 + COUNTIF($A$2:A160,"&gt;0"))</f>
        <v>0</v>
      </c>
      <c r="B161" s="52" t="s">
        <v>415</v>
      </c>
      <c r="C161" s="52" t="s">
        <v>100</v>
      </c>
      <c r="D161" s="53">
        <v>0</v>
      </c>
      <c r="E161" s="53">
        <v>24713334</v>
      </c>
      <c r="F161" s="53">
        <v>0</v>
      </c>
      <c r="G161" s="53">
        <v>24713334</v>
      </c>
    </row>
    <row r="162" spans="1:7">
      <c r="A162">
        <f>IFERROR(IF(B162="",0,IF(VALUE(LEFT(B162,1))&gt;3,VLOOKUP(VALUE(B162),PROYECCIONES!B:D,3,FALSE),0)),1 + COUNTIF($A$2:A161,"&gt;0"))</f>
        <v>0</v>
      </c>
      <c r="B162" s="52" t="s">
        <v>416</v>
      </c>
      <c r="C162" s="52" t="s">
        <v>101</v>
      </c>
      <c r="D162" s="53">
        <v>0</v>
      </c>
      <c r="E162" s="53">
        <v>947877</v>
      </c>
      <c r="F162" s="53">
        <v>0</v>
      </c>
      <c r="G162" s="53">
        <v>947877</v>
      </c>
    </row>
    <row r="163" spans="1:7">
      <c r="A163">
        <f>IFERROR(IF(B163="",0,IF(VALUE(LEFT(B163,1))&gt;3,VLOOKUP(VALUE(B163),PROYECCIONES!B:D,3,FALSE),0)),1 + COUNTIF($A$2:A162,"&gt;0"))</f>
        <v>0</v>
      </c>
      <c r="B163" s="52" t="s">
        <v>398</v>
      </c>
      <c r="C163" s="52" t="s">
        <v>96</v>
      </c>
      <c r="D163" s="53">
        <v>0</v>
      </c>
      <c r="E163" s="53">
        <v>2320380</v>
      </c>
      <c r="F163" s="53">
        <v>0</v>
      </c>
      <c r="G163" s="53">
        <v>2320380</v>
      </c>
    </row>
    <row r="164" spans="1:7">
      <c r="A164">
        <f>IFERROR(IF(B164="",0,IF(VALUE(LEFT(B164,1))&gt;3,VLOOKUP(VALUE(B164),PROYECCIONES!B:D,3,FALSE),0)),1 + COUNTIF($A$2:A163,"&gt;0"))</f>
        <v>0</v>
      </c>
      <c r="B164" s="52" t="s">
        <v>399</v>
      </c>
      <c r="C164" s="52" t="s">
        <v>97</v>
      </c>
      <c r="D164" s="53">
        <v>0</v>
      </c>
      <c r="E164" s="53">
        <v>2320380</v>
      </c>
      <c r="F164" s="53">
        <v>0</v>
      </c>
      <c r="G164" s="53">
        <v>2320380</v>
      </c>
    </row>
    <row r="165" spans="1:7">
      <c r="A165">
        <f>IFERROR(IF(B165="",0,IF(VALUE(LEFT(B165,1))&gt;3,VLOOKUP(VALUE(B165),PROYECCIONES!B:D,3,FALSE),0)),1 + COUNTIF($A$2:A164,"&gt;0"))</f>
        <v>0</v>
      </c>
      <c r="B165" s="52" t="s">
        <v>400</v>
      </c>
      <c r="C165" s="52" t="s">
        <v>98</v>
      </c>
      <c r="D165" s="53">
        <v>0</v>
      </c>
      <c r="E165" s="53">
        <v>1116252</v>
      </c>
      <c r="F165" s="53">
        <v>0</v>
      </c>
      <c r="G165" s="53">
        <v>1116252</v>
      </c>
    </row>
    <row r="166" spans="1:7">
      <c r="A166">
        <f>IFERROR(IF(B166="",0,IF(VALUE(LEFT(B166,1))&gt;3,VLOOKUP(VALUE(B166),PROYECCIONES!B:D,3,FALSE),0)),1 + COUNTIF($A$2:A165,"&gt;0"))</f>
        <v>0</v>
      </c>
      <c r="B166" s="52" t="s">
        <v>401</v>
      </c>
      <c r="C166" s="52" t="s">
        <v>204</v>
      </c>
      <c r="D166" s="53">
        <v>0</v>
      </c>
      <c r="E166" s="53">
        <v>139844</v>
      </c>
      <c r="F166" s="53">
        <v>0</v>
      </c>
      <c r="G166" s="53">
        <v>139844</v>
      </c>
    </row>
    <row r="167" spans="1:7">
      <c r="A167">
        <f>IFERROR(IF(B167="",0,IF(VALUE(LEFT(B167,1))&gt;3,VLOOKUP(VALUE(B167),PROYECCIONES!B:D,3,FALSE),0)),1 + COUNTIF($A$2:A166,"&gt;0"))</f>
        <v>0</v>
      </c>
      <c r="B167" s="52" t="s">
        <v>402</v>
      </c>
      <c r="C167" s="52" t="s">
        <v>205</v>
      </c>
      <c r="D167" s="53">
        <v>0</v>
      </c>
      <c r="E167" s="53">
        <v>3214800</v>
      </c>
      <c r="F167" s="53">
        <v>0</v>
      </c>
      <c r="G167" s="53">
        <v>3214800</v>
      </c>
    </row>
    <row r="168" spans="1:7">
      <c r="A168">
        <f>IFERROR(IF(B168="",0,IF(VALUE(LEFT(B168,1))&gt;3,VLOOKUP(VALUE(B168),PROYECCIONES!B:D,3,FALSE),0)),1 + COUNTIF($A$2:A167,"&gt;0"))</f>
        <v>0</v>
      </c>
      <c r="B168" s="52" t="s">
        <v>403</v>
      </c>
      <c r="C168" s="52" t="s">
        <v>206</v>
      </c>
      <c r="D168" s="53">
        <v>0</v>
      </c>
      <c r="E168" s="53">
        <v>1071600</v>
      </c>
      <c r="F168" s="53">
        <v>0</v>
      </c>
      <c r="G168" s="53">
        <v>1071600</v>
      </c>
    </row>
    <row r="169" spans="1:7">
      <c r="A169">
        <f>IFERROR(IF(B169="",0,IF(VALUE(LEFT(B169,1))&gt;3,VLOOKUP(VALUE(B169),PROYECCIONES!B:D,3,FALSE),0)),1 + COUNTIF($A$2:A168,"&gt;0"))</f>
        <v>0</v>
      </c>
      <c r="B169" s="52" t="s">
        <v>417</v>
      </c>
      <c r="C169" s="52" t="s">
        <v>164</v>
      </c>
      <c r="D169" s="53">
        <v>0</v>
      </c>
      <c r="E169" s="53">
        <v>7200000</v>
      </c>
      <c r="F169" s="53">
        <v>0</v>
      </c>
      <c r="G169" s="53">
        <v>7200000</v>
      </c>
    </row>
    <row r="170" spans="1:7">
      <c r="A170">
        <f>IFERROR(IF(B170="",0,IF(VALUE(LEFT(B170,1))&gt;3,VLOOKUP(VALUE(B170),PROYECCIONES!B:D,3,FALSE),0)),1 + COUNTIF($A$2:A169,"&gt;0"))</f>
        <v>0</v>
      </c>
      <c r="B170" s="52" t="s">
        <v>404</v>
      </c>
      <c r="C170" s="52" t="s">
        <v>102</v>
      </c>
      <c r="D170" s="53">
        <v>0</v>
      </c>
      <c r="E170" s="53">
        <v>278448</v>
      </c>
      <c r="F170" s="53">
        <v>0</v>
      </c>
      <c r="G170" s="53">
        <v>278448</v>
      </c>
    </row>
    <row r="171" spans="1:7">
      <c r="A171">
        <f>IFERROR(IF(B171="",0,IF(VALUE(LEFT(B171,1))&gt;3,VLOOKUP(VALUE(B171),PROYECCIONES!B:D,3,FALSE),0)),1 + COUNTIF($A$2:A170,"&gt;0"))</f>
        <v>0</v>
      </c>
      <c r="B171" s="52" t="s">
        <v>357</v>
      </c>
      <c r="C171" s="52" t="s">
        <v>357</v>
      </c>
      <c r="D171" s="53">
        <v>0</v>
      </c>
      <c r="E171" s="53" t="s">
        <v>611</v>
      </c>
      <c r="F171" s="53" t="s">
        <v>611</v>
      </c>
      <c r="G171" s="53">
        <v>0</v>
      </c>
    </row>
    <row r="172" spans="1:7">
      <c r="A172">
        <f>IFERROR(IF(B172="",0,IF(VALUE(LEFT(B172,1))&gt;3,VLOOKUP(VALUE(B172),PROYECCIONES!B:D,3,FALSE),0)),1 + COUNTIF($A$2:A171,"&gt;0"))</f>
        <v>0</v>
      </c>
      <c r="B172" s="52"/>
      <c r="C172" s="52"/>
      <c r="D172" s="53"/>
      <c r="E172" s="53"/>
      <c r="F172" s="53"/>
      <c r="G172" s="53"/>
    </row>
    <row r="173" spans="1:7">
      <c r="A173">
        <f>IFERROR(IF(B173="",0,IF(VALUE(LEFT(B173,1))&gt;3,VLOOKUP(VALUE(B173),PROYECCIONES!B:D,3,FALSE),0)),1 + COUNTIF($A$2:A172,"&gt;0"))</f>
        <v>0</v>
      </c>
      <c r="B173" s="52"/>
      <c r="C173" s="52"/>
      <c r="D173" s="53"/>
      <c r="E173" s="53"/>
      <c r="F173" s="53"/>
      <c r="G173" s="53"/>
    </row>
    <row r="174" spans="1:7">
      <c r="A174">
        <f>IFERROR(IF(B174="",0,IF(VALUE(LEFT(B174,1))&gt;3,VLOOKUP(VALUE(B174),PROYECCIONES!B:D,3,FALSE),0)),1 + COUNTIF($A$2:A173,"&gt;0"))</f>
        <v>0</v>
      </c>
      <c r="B174" s="52"/>
      <c r="C174" s="52"/>
      <c r="D174" s="53"/>
      <c r="E174" s="53"/>
      <c r="F174" s="53"/>
      <c r="G174" s="53"/>
    </row>
    <row r="175" spans="1:7">
      <c r="A175">
        <f>IFERROR(IF(B175="",0,IF(VALUE(LEFT(B175,1))&gt;3,VLOOKUP(VALUE(B175),PROYECCIONES!B:D,3,FALSE),0)),1 + COUNTIF($A$2:A174,"&gt;0"))</f>
        <v>0</v>
      </c>
      <c r="B175" s="52"/>
      <c r="C175" s="52"/>
      <c r="D175" s="53"/>
      <c r="E175" s="53"/>
      <c r="F175" s="53"/>
      <c r="G175" s="53"/>
    </row>
    <row r="176" spans="1:7">
      <c r="A176">
        <f>IFERROR(IF(B176="",0,IF(VALUE(LEFT(B176,1))&gt;3,VLOOKUP(VALUE(B176),PROYECCIONES!B:D,3,FALSE),0)),1 + COUNTIF($A$2:A175,"&gt;0"))</f>
        <v>0</v>
      </c>
      <c r="B176" s="52"/>
      <c r="C176" s="52"/>
      <c r="D176" s="53"/>
      <c r="E176" s="53"/>
      <c r="F176" s="53"/>
      <c r="G176" s="53"/>
    </row>
    <row r="177" spans="1:7">
      <c r="A177">
        <f>IFERROR(IF(B177="",0,IF(VALUE(LEFT(B177,1))&gt;3,VLOOKUP(VALUE(B177),PROYECCIONES!B:D,3,FALSE),0)),1 + COUNTIF($A$2:A176,"&gt;0"))</f>
        <v>0</v>
      </c>
      <c r="B177" s="52"/>
      <c r="C177" s="52"/>
      <c r="D177" s="53"/>
      <c r="E177" s="53"/>
      <c r="F177" s="53"/>
      <c r="G177" s="53"/>
    </row>
    <row r="178" spans="1:7">
      <c r="A178">
        <f>IFERROR(IF(B178="",0,IF(VALUE(LEFT(B178,1))&gt;3,VLOOKUP(VALUE(B178),PROYECCIONES!B:D,3,FALSE),0)),1 + COUNTIF($A$2:A177,"&gt;0"))</f>
        <v>0</v>
      </c>
      <c r="B178" s="52"/>
      <c r="C178" s="52"/>
      <c r="D178" s="53"/>
      <c r="E178" s="53"/>
      <c r="F178" s="53"/>
      <c r="G178" s="53"/>
    </row>
    <row r="179" spans="1:7">
      <c r="A179">
        <f>IFERROR(IF(B179="",0,IF(VALUE(LEFT(B179,1))&gt;3,VLOOKUP(VALUE(B179),PROYECCIONES!B:D,3,FALSE),0)),1 + COUNTIF($A$2:A178,"&gt;0"))</f>
        <v>0</v>
      </c>
    </row>
    <row r="180" spans="1:7">
      <c r="A180">
        <f>IFERROR(IF(B180="",0,IF(VALUE(LEFT(B180,1))&gt;3,VLOOKUP(VALUE(B180),PROYECCIONES!B:D,3,FALSE),0)),1 + COUNTIF($A$2:A179,"&gt;0"))</f>
        <v>0</v>
      </c>
    </row>
    <row r="181" spans="1:7">
      <c r="A181">
        <f>IFERROR(IF(B181="",0,IF(VALUE(LEFT(B181,1))&gt;3,VLOOKUP(VALUE(B181),PROYECCIONES!B:D,3,FALSE),0)),1 + COUNTIF($A$2:A180,"&gt;0"))</f>
        <v>0</v>
      </c>
    </row>
    <row r="182" spans="1:7">
      <c r="A182">
        <f>IFERROR(IF(B182="",0,IF(VALUE(LEFT(B182,1))&gt;3,VLOOKUP(VALUE(B182),PROYECCIONES!B:D,3,FALSE),0)),1 + COUNTIF($A$2:A181,"&gt;0"))</f>
        <v>0</v>
      </c>
    </row>
    <row r="183" spans="1:7">
      <c r="A183">
        <f>IFERROR(IF(B183="",0,IF(VALUE(LEFT(B183,1))&gt;3,VLOOKUP(VALUE(B183),PROYECCIONES!B:D,3,FALSE),0)),1 + COUNTIF($A$2:A182,"&gt;0"))</f>
        <v>0</v>
      </c>
    </row>
    <row r="184" spans="1:7">
      <c r="A184">
        <f>IFERROR(IF(B184="",0,IF(VALUE(LEFT(B184,1))&gt;3,VLOOKUP(VALUE(B184),PROYECCIONES!B:D,3,FALSE),0)),1 + COUNTIF($A$2:A183,"&gt;0"))</f>
        <v>0</v>
      </c>
    </row>
    <row r="185" spans="1:7">
      <c r="A185">
        <f>IFERROR(IF(B185="",0,IF(VALUE(LEFT(B185,1))&gt;3,VLOOKUP(VALUE(B185),PROYECCIONES!B:D,3,FALSE),0)),1 + COUNTIF($A$2:A184,"&gt;0"))</f>
        <v>0</v>
      </c>
    </row>
    <row r="186" spans="1:7">
      <c r="A186">
        <f>IFERROR(IF(B186="",0,IF(VALUE(LEFT(B186,1))&gt;3,VLOOKUP(VALUE(B186),PROYECCIONES!B:D,3,FALSE),0)),1 + COUNTIF($A$2:A185,"&gt;0"))</f>
        <v>0</v>
      </c>
    </row>
    <row r="187" spans="1:7">
      <c r="A187">
        <f>IFERROR(IF(B187="",0,IF(VALUE(LEFT(B187,1))&gt;3,VLOOKUP(VALUE(B187),PROYECCIONES!B:D,3,FALSE),0)),1 + COUNTIF($A$2:A186,"&gt;0"))</f>
        <v>0</v>
      </c>
    </row>
    <row r="188" spans="1:7">
      <c r="A188">
        <f>IFERROR(IF(B188="",0,IF(VALUE(LEFT(B188,1))&gt;3,VLOOKUP(VALUE(B188),PROYECCIONES!B:D,3,FALSE),0)),1 + COUNTIF($A$2:A187,"&gt;0"))</f>
        <v>0</v>
      </c>
    </row>
    <row r="189" spans="1:7">
      <c r="A189">
        <f>IFERROR(IF(B189="",0,IF(VALUE(LEFT(B189,1))&gt;3,VLOOKUP(VALUE(B189),PROYECCIONES!B:D,3,FALSE),0)),1 + COUNTIF($A$2:A188,"&gt;0"))</f>
        <v>0</v>
      </c>
    </row>
    <row r="190" spans="1:7">
      <c r="A190">
        <f>IFERROR(IF(B190="",0,IF(VALUE(LEFT(B190,1))&gt;3,VLOOKUP(VALUE(B190),PROYECCIONES!B:D,3,FALSE),0)),1 + COUNTIF($A$2:A189,"&gt;0"))</f>
        <v>0</v>
      </c>
    </row>
    <row r="191" spans="1:7">
      <c r="A191">
        <f>IFERROR(IF(B191="",0,IF(VALUE(LEFT(B191,1))&gt;3,VLOOKUP(VALUE(B191),PROYECCIONES!B:D,3,FALSE),0)),1 + COUNTIF($A$2:A190,"&gt;0"))</f>
        <v>0</v>
      </c>
    </row>
    <row r="192" spans="1:7">
      <c r="A192">
        <f>IFERROR(IF(B192="",0,IF(VALUE(LEFT(B192,1))&gt;3,VLOOKUP(VALUE(B192),PROYECCIONES!B:D,3,FALSE),0)),1 + COUNTIF($A$2:A191,"&gt;0"))</f>
        <v>0</v>
      </c>
    </row>
    <row r="193" spans="1:1">
      <c r="A193">
        <f>IFERROR(IF(B193="",0,IF(VALUE(LEFT(B193,1))&gt;3,VLOOKUP(VALUE(B193),PROYECCIONES!B:D,3,FALSE),0)),1 + COUNTIF($A$2:A192,"&gt;0"))</f>
        <v>0</v>
      </c>
    </row>
    <row r="194" spans="1:1">
      <c r="A194">
        <f>IFERROR(IF(B194="",0,IF(VALUE(LEFT(B194,1))&gt;3,VLOOKUP(VALUE(B194),PROYECCIONES!B:D,3,FALSE),0)),1 + COUNTIF($A$2:A193,"&gt;0"))</f>
        <v>0</v>
      </c>
    </row>
    <row r="195" spans="1:1">
      <c r="A195">
        <f>IFERROR(IF(B195="",0,IF(VALUE(LEFT(B195,1))&gt;3,VLOOKUP(VALUE(B195),PROYECCIONES!B:D,3,FALSE),0)),1 + COUNTIF($A$2:A194,"&gt;0"))</f>
        <v>0</v>
      </c>
    </row>
    <row r="196" spans="1:1">
      <c r="A196">
        <f>IFERROR(IF(B196="",0,IF(VALUE(LEFT(B196,1))&gt;3,VLOOKUP(VALUE(B196),PROYECCIONES!B:D,3,FALSE),0)),1 + COUNTIF($A$2:A195,"&gt;0"))</f>
        <v>0</v>
      </c>
    </row>
    <row r="197" spans="1:1">
      <c r="A197">
        <f>IFERROR(IF(B197="",0,IF(VALUE(LEFT(B197,1))&gt;3,VLOOKUP(VALUE(B197),PROYECCIONES!B:D,3,FALSE),0)),1 + COUNTIF($A$2:A196,"&gt;0"))</f>
        <v>0</v>
      </c>
    </row>
    <row r="198" spans="1:1">
      <c r="A198">
        <f>IFERROR(IF(B198="",0,IF(VALUE(LEFT(B198,1))&gt;3,VLOOKUP(VALUE(B198),PROYECCIONES!B:D,3,FALSE),0)),1 + COUNTIF($A$2:A197,"&gt;0"))</f>
        <v>0</v>
      </c>
    </row>
    <row r="199" spans="1:1">
      <c r="A199">
        <f>IFERROR(IF(B199="",0,IF(VALUE(LEFT(B199,1))&gt;3,VLOOKUP(VALUE(B199),PROYECCIONES!B:D,3,FALSE),0)),1 + COUNTIF($A$2:A198,"&gt;0"))</f>
        <v>0</v>
      </c>
    </row>
    <row r="200" spans="1:1">
      <c r="A200">
        <f>IFERROR(IF(B200="",0,IF(VALUE(LEFT(B200,1))&gt;3,VLOOKUP(VALUE(B200),PROYECCIONES!B:D,3,FALSE),0)),1 + COUNTIF($A$2:A199,"&gt;0"))</f>
        <v>0</v>
      </c>
    </row>
    <row r="201" spans="1:1">
      <c r="A201">
        <f>IFERROR(IF(B201="",0,IF(VALUE(LEFT(B201,1))&gt;3,VLOOKUP(VALUE(B201),PROYECCIONES!B:D,3,FALSE),0)),1 + COUNTIF($A$2:A200,"&gt;0"))</f>
        <v>0</v>
      </c>
    </row>
    <row r="202" spans="1:1">
      <c r="A202">
        <f>IFERROR(IF(B202="",0,IF(VALUE(LEFT(B202,1))&gt;3,VLOOKUP(VALUE(B202),PROYECCIONES!B:D,3,FALSE),0)),1 + COUNTIF($A$2:A201,"&gt;0"))</f>
        <v>0</v>
      </c>
    </row>
    <row r="203" spans="1:1">
      <c r="A203">
        <f>IFERROR(IF(B203="",0,IF(VALUE(LEFT(B203,1))&gt;3,VLOOKUP(VALUE(B203),PROYECCIONES!B:D,3,FALSE),0)),1 + COUNTIF($A$2:A202,"&gt;0"))</f>
        <v>0</v>
      </c>
    </row>
    <row r="204" spans="1:1">
      <c r="A204">
        <f>IFERROR(IF(B204="",0,IF(VALUE(LEFT(B204,1))&gt;3,VLOOKUP(VALUE(B204),PROYECCIONES!B:D,3,FALSE),0)),1 + COUNTIF($A$2:A203,"&gt;0"))</f>
        <v>0</v>
      </c>
    </row>
    <row r="205" spans="1:1">
      <c r="A205">
        <f>IFERROR(IF(B205="",0,IF(VALUE(LEFT(B205,1))&gt;3,VLOOKUP(VALUE(B205),PROYECCIONES!B:D,3,FALSE),0)),1 + COUNTIF($A$2:A204,"&gt;0"))</f>
        <v>0</v>
      </c>
    </row>
    <row r="206" spans="1:1">
      <c r="A206">
        <f>IFERROR(IF(B206="",0,IF(VALUE(LEFT(B206,1))&gt;3,VLOOKUP(VALUE(B206),PROYECCIONES!B:D,3,FALSE),0)),1 + COUNTIF($A$2:A205,"&gt;0"))</f>
        <v>0</v>
      </c>
    </row>
    <row r="207" spans="1:1">
      <c r="A207">
        <f>IFERROR(IF(B207="",0,IF(VALUE(LEFT(B207,1))&gt;3,VLOOKUP(VALUE(B207),PROYECCIONES!B:D,3,FALSE),0)),1 + COUNTIF($A$2:A206,"&gt;0"))</f>
        <v>0</v>
      </c>
    </row>
    <row r="208" spans="1:1">
      <c r="A208">
        <f>IFERROR(IF(B208="",0,IF(VALUE(LEFT(B208,1))&gt;3,VLOOKUP(VALUE(B208),PROYECCIONES!B:D,3,FALSE),0)),1 + COUNTIF($A$2:A207,"&gt;0"))</f>
        <v>0</v>
      </c>
    </row>
    <row r="209" spans="1:1">
      <c r="A209">
        <f>IFERROR(IF(B209="",0,IF(VALUE(LEFT(B209,1))&gt;3,VLOOKUP(VALUE(B209),PROYECCIONES!B:D,3,FALSE),0)),1 + COUNTIF($A$2:A208,"&gt;0"))</f>
        <v>0</v>
      </c>
    </row>
    <row r="210" spans="1:1">
      <c r="A210">
        <f>IFERROR(IF(B210="",0,IF(VALUE(LEFT(B210,1))&gt;3,VLOOKUP(VALUE(B210),PROYECCIONES!B:D,3,FALSE),0)),1 + COUNTIF($A$2:A209,"&gt;0"))</f>
        <v>0</v>
      </c>
    </row>
    <row r="211" spans="1:1">
      <c r="A211">
        <f>IFERROR(IF(B211="",0,IF(VALUE(LEFT(B211,1))&gt;3,VLOOKUP(VALUE(B211),PROYECCIONES!B:D,3,FALSE),0)),1 + COUNTIF($A$2:A210,"&gt;0"))</f>
        <v>0</v>
      </c>
    </row>
    <row r="212" spans="1:1">
      <c r="A212">
        <f>IFERROR(IF(B212="",0,IF(VALUE(LEFT(B212,1))&gt;3,VLOOKUP(VALUE(B212),PROYECCIONES!B:D,3,FALSE),0)),1 + COUNTIF($A$2:A211,"&gt;0"))</f>
        <v>0</v>
      </c>
    </row>
    <row r="213" spans="1:1">
      <c r="A213">
        <f>IFERROR(IF(B213="",0,IF(VALUE(LEFT(B213,1))&gt;3,VLOOKUP(VALUE(B213),PROYECCIONES!B:D,3,FALSE),0)),1 + COUNTIF($A$2:A212,"&gt;0"))</f>
        <v>0</v>
      </c>
    </row>
    <row r="214" spans="1:1">
      <c r="A214">
        <f>IFERROR(IF(B214="",0,IF(VALUE(LEFT(B214,1))&gt;3,VLOOKUP(VALUE(B214),PROYECCIONES!B:D,3,FALSE),0)),1 + COUNTIF($A$2:A213,"&gt;0"))</f>
        <v>0</v>
      </c>
    </row>
    <row r="215" spans="1:1">
      <c r="A215">
        <f>IFERROR(IF(B215="",0,IF(VALUE(LEFT(B215,1))&gt;3,VLOOKUP(VALUE(B215),PROYECCIONES!B:D,3,FALSE),0)),1 + COUNTIF($A$2:A214,"&gt;0"))</f>
        <v>0</v>
      </c>
    </row>
    <row r="216" spans="1:1">
      <c r="A216">
        <f>IFERROR(IF(B216="",0,IF(VALUE(LEFT(B216,1))&gt;3,VLOOKUP(VALUE(B216),PROYECCIONES!B:D,3,FALSE),0)),1 + COUNTIF($A$2:A215,"&gt;0"))</f>
        <v>0</v>
      </c>
    </row>
    <row r="217" spans="1:1">
      <c r="A217">
        <f>IFERROR(IF(B217="",0,IF(VALUE(LEFT(B217,1))&gt;3,VLOOKUP(VALUE(B217),PROYECCIONES!B:D,3,FALSE),0)),1 + COUNTIF($A$2:A216,"&gt;0"))</f>
        <v>0</v>
      </c>
    </row>
    <row r="218" spans="1:1">
      <c r="A218">
        <f>IFERROR(IF(B218="",0,IF(VALUE(LEFT(B218,1))&gt;3,VLOOKUP(VALUE(B218),PROYECCIONES!B:D,3,FALSE),0)),1 + COUNTIF($A$2:A217,"&gt;0"))</f>
        <v>0</v>
      </c>
    </row>
    <row r="219" spans="1:1">
      <c r="A219">
        <f>IFERROR(IF(B219="",0,IF(VALUE(LEFT(B219,1))&gt;3,VLOOKUP(VALUE(B219),PROYECCIONES!B:D,3,FALSE),0)),1 + COUNTIF($A$2:A218,"&gt;0"))</f>
        <v>0</v>
      </c>
    </row>
    <row r="220" spans="1:1">
      <c r="A220">
        <f>IFERROR(IF(B220="",0,IF(VALUE(LEFT(B220,1))&gt;3,VLOOKUP(VALUE(B220),PROYECCIONES!B:D,3,FALSE),0)),1 + COUNTIF($A$2:A219,"&gt;0"))</f>
        <v>0</v>
      </c>
    </row>
    <row r="221" spans="1:1">
      <c r="A221">
        <f>IFERROR(IF(B221="",0,IF(VALUE(LEFT(B221,1))&gt;3,VLOOKUP(VALUE(B221),PROYECCIONES!B:D,3,FALSE),0)),1 + COUNTIF($A$2:A220,"&gt;0"))</f>
        <v>0</v>
      </c>
    </row>
    <row r="222" spans="1:1">
      <c r="A222">
        <f>IFERROR(IF(B222="",0,IF(VALUE(LEFT(B222,1))&gt;3,VLOOKUP(VALUE(B222),PROYECCIONES!B:D,3,FALSE),0)),1 + COUNTIF($A$2:A221,"&gt;0"))</f>
        <v>0</v>
      </c>
    </row>
    <row r="223" spans="1:1">
      <c r="A223">
        <f>IFERROR(IF(B223="",0,IF(VALUE(LEFT(B223,1))&gt;3,VLOOKUP(VALUE(B223),PROYECCIONES!B:D,3,FALSE),0)),1 + COUNTIF($A$2:A222,"&gt;0"))</f>
        <v>0</v>
      </c>
    </row>
    <row r="224" spans="1:1">
      <c r="A224">
        <f>IFERROR(IF(B224="",0,IF(VALUE(LEFT(B224,1))&gt;3,VLOOKUP(VALUE(B224),PROYECCIONES!B:D,3,FALSE),0)),1 + COUNTIF($A$2:A223,"&gt;0"))</f>
        <v>0</v>
      </c>
    </row>
    <row r="225" spans="1:1">
      <c r="A225">
        <f>IFERROR(IF(B225="",0,IF(VALUE(LEFT(B225,1))&gt;3,VLOOKUP(VALUE(B225),PROYECCIONES!B:D,3,FALSE),0)),1 + COUNTIF($A$2:A224,"&gt;0"))</f>
        <v>0</v>
      </c>
    </row>
    <row r="226" spans="1:1">
      <c r="A226">
        <f>IFERROR(IF(B226="",0,IF(VALUE(LEFT(B226,1))&gt;3,VLOOKUP(VALUE(B226),PROYECCIONES!B:D,3,FALSE),0)),1 + COUNTIF($A$2:A225,"&gt;0"))</f>
        <v>0</v>
      </c>
    </row>
    <row r="227" spans="1:1">
      <c r="A227">
        <f>IFERROR(IF(B227="",0,IF(VALUE(LEFT(B227,1))&gt;3,VLOOKUP(VALUE(B227),PROYECCIONES!B:D,3,FALSE),0)),1 + COUNTIF($A$2:A226,"&gt;0"))</f>
        <v>0</v>
      </c>
    </row>
    <row r="228" spans="1:1">
      <c r="A228">
        <f>IFERROR(IF(B228="",0,IF(VALUE(LEFT(B228,1))&gt;3,VLOOKUP(VALUE(B228),PROYECCIONES!B:D,3,FALSE),0)),1 + COUNTIF($A$2:A227,"&gt;0"))</f>
        <v>0</v>
      </c>
    </row>
    <row r="229" spans="1:1">
      <c r="A229">
        <f>IFERROR(IF(B229="",0,IF(VALUE(LEFT(B229,1))&gt;3,VLOOKUP(VALUE(B229),PROYECCIONES!B:D,3,FALSE),0)),1 + COUNTIF($A$2:A228,"&gt;0"))</f>
        <v>0</v>
      </c>
    </row>
    <row r="230" spans="1:1">
      <c r="A230">
        <f>IFERROR(IF(B230="",0,IF(VALUE(LEFT(B230,1))&gt;3,VLOOKUP(VALUE(B230),PROYECCIONES!B:D,3,FALSE),0)),1 + COUNTIF($A$2:A229,"&gt;0"))</f>
        <v>0</v>
      </c>
    </row>
    <row r="231" spans="1:1">
      <c r="A231">
        <f>IFERROR(IF(B231="",0,IF(VALUE(LEFT(B231,1))&gt;3,VLOOKUP(VALUE(B231),PROYECCIONES!B:D,3,FALSE),0)),1 + COUNTIF($A$2:A230,"&gt;0"))</f>
        <v>0</v>
      </c>
    </row>
    <row r="232" spans="1:1">
      <c r="A232">
        <f>IFERROR(IF(B232="",0,IF(VALUE(LEFT(B232,1))&gt;3,VLOOKUP(VALUE(B232),PROYECCIONES!B:D,3,FALSE),0)),1 + COUNTIF($A$2:A231,"&gt;0"))</f>
        <v>0</v>
      </c>
    </row>
    <row r="233" spans="1:1">
      <c r="A233">
        <f>IFERROR(IF(B233="",0,IF(VALUE(LEFT(B233,1))&gt;3,VLOOKUP(VALUE(B233),PROYECCIONES!B:D,3,FALSE),0)),1 + COUNTIF($A$2:A232,"&gt;0"))</f>
        <v>0</v>
      </c>
    </row>
    <row r="234" spans="1:1">
      <c r="A234">
        <f>IFERROR(IF(B234="",0,IF(VALUE(LEFT(B234,1))&gt;3,VLOOKUP(VALUE(B234),PROYECCIONES!B:D,3,FALSE),0)),1 + COUNTIF($A$2:A233,"&gt;0"))</f>
        <v>0</v>
      </c>
    </row>
    <row r="235" spans="1:1">
      <c r="A235">
        <f>IFERROR(IF(B235="",0,IF(VALUE(LEFT(B235,1))&gt;3,VLOOKUP(VALUE(B235),PROYECCIONES!B:D,3,FALSE),0)),1 + COUNTIF($A$2:A234,"&gt;0"))</f>
        <v>0</v>
      </c>
    </row>
    <row r="236" spans="1:1">
      <c r="A236">
        <f>IFERROR(IF(B236="",0,IF(VALUE(LEFT(B236,1))&gt;3,VLOOKUP(VALUE(B236),PROYECCIONES!B:D,3,FALSE),0)),1 + COUNTIF($A$2:A235,"&gt;0"))</f>
        <v>0</v>
      </c>
    </row>
    <row r="237" spans="1:1">
      <c r="A237">
        <f>IFERROR(IF(B237="",0,IF(VALUE(LEFT(B237,1))&gt;3,VLOOKUP(VALUE(B237),PROYECCIONES!B:D,3,FALSE),0)),1 + COUNTIF($A$2:A236,"&gt;0"))</f>
        <v>0</v>
      </c>
    </row>
    <row r="238" spans="1:1">
      <c r="A238">
        <f>IFERROR(IF(B238="",0,IF(VALUE(LEFT(B238,1))&gt;3,VLOOKUP(VALUE(B238),PROYECCIONES!B:D,3,FALSE),0)),1 + COUNTIF($A$2:A237,"&gt;0"))</f>
        <v>0</v>
      </c>
    </row>
    <row r="239" spans="1:1">
      <c r="A239">
        <f>IFERROR(IF(B239="",0,IF(VALUE(LEFT(B239,1))&gt;3,VLOOKUP(VALUE(B239),PROYECCIONES!B:D,3,FALSE),0)),1 + COUNTIF($A$2:A238,"&gt;0"))</f>
        <v>0</v>
      </c>
    </row>
    <row r="240" spans="1:1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autoFilter ref="A2:I300" xr:uid="{EC1BB005-C061-4BB9-888B-C42BFA3E17A1}"/>
  <mergeCells count="4">
    <mergeCell ref="B1:C1"/>
    <mergeCell ref="D1:D2"/>
    <mergeCell ref="E1:F1"/>
    <mergeCell ref="G1:G2"/>
  </mergeCells>
  <conditionalFormatting sqref="B172:B1048576">
    <cfRule type="expression" dxfId="11" priority="2">
      <formula>$A172="No Agregada"</formula>
    </cfRule>
  </conditionalFormatting>
  <conditionalFormatting sqref="H3:H300">
    <cfRule type="expression" dxfId="10" priority="1">
      <formula>A3&lt;&gt;0</formula>
    </cfRule>
  </conditionalFormatting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2EC5-AEB5-4203-A921-FD3E1EADE55A}">
  <sheetPr codeName="Hoja20"/>
  <dimension ref="A1:M300"/>
  <sheetViews>
    <sheetView workbookViewId="0">
      <pane ySplit="2" topLeftCell="A3" activePane="bottomLeft" state="frozen"/>
      <selection activeCell="R14" sqref="R14"/>
      <selection pane="bottomLeft" activeCell="R14" sqref="R14"/>
    </sheetView>
  </sheetViews>
  <sheetFormatPr baseColWidth="10" defaultRowHeight="15"/>
  <cols>
    <col min="1" max="1" width="17.5703125" hidden="1" customWidth="1"/>
    <col min="2" max="2" width="8.85546875" style="61" customWidth="1"/>
    <col min="3" max="3" width="29.7109375" style="61" customWidth="1"/>
    <col min="4" max="7" width="12.5703125" style="184" bestFit="1" customWidth="1"/>
    <col min="9" max="11" width="11.42578125" hidden="1" customWidth="1"/>
    <col min="12" max="12" width="5.7109375" hidden="1" customWidth="1"/>
    <col min="13" max="13" width="11.42578125" hidden="1" customWidth="1"/>
  </cols>
  <sheetData>
    <row r="1" spans="1:13">
      <c r="B1" s="284" t="s">
        <v>94</v>
      </c>
      <c r="C1" s="285"/>
      <c r="D1" s="286" t="s">
        <v>265</v>
      </c>
      <c r="E1" s="288" t="s">
        <v>266</v>
      </c>
      <c r="F1" s="289"/>
      <c r="G1" s="286" t="s">
        <v>267</v>
      </c>
    </row>
    <row r="2" spans="1:13">
      <c r="B2" s="51" t="s">
        <v>268</v>
      </c>
      <c r="C2" s="51" t="s">
        <v>269</v>
      </c>
      <c r="D2" s="287"/>
      <c r="E2" s="65" t="s">
        <v>270</v>
      </c>
      <c r="F2" s="65" t="s">
        <v>271</v>
      </c>
      <c r="G2" s="287"/>
    </row>
    <row r="3" spans="1:13">
      <c r="A3">
        <f>IFERROR(IF(B3="",0,IF(VALUE(LEFT(B3,1))&gt;3,VLOOKUP(VALUE(B3),PROYECCIONES!B:D,3,FALSE),0)),1 + COUNTIF($A$2:A2,"&gt;0"))</f>
        <v>0</v>
      </c>
      <c r="B3" s="52" t="s">
        <v>358</v>
      </c>
      <c r="C3" s="52" t="s">
        <v>359</v>
      </c>
      <c r="D3" s="53">
        <v>3385</v>
      </c>
      <c r="E3" s="53">
        <v>1817915</v>
      </c>
      <c r="F3" s="53">
        <v>1642200</v>
      </c>
      <c r="G3" s="53">
        <v>179100</v>
      </c>
      <c r="I3">
        <f>COUNTIF(A3:A300,"&gt;0")</f>
        <v>0</v>
      </c>
      <c r="J3" t="s">
        <v>3</v>
      </c>
      <c r="K3" t="s">
        <v>223</v>
      </c>
      <c r="L3" t="s">
        <v>224</v>
      </c>
    </row>
    <row r="4" spans="1:13">
      <c r="A4">
        <f>IFERROR(IF(B4="",0,IF(VALUE(LEFT(B4,1))&gt;3,VLOOKUP(VALUE(B4),PROYECCIONES!B:D,3,FALSE),0)),1 + COUNTIF($A$2:A3,"&gt;0"))</f>
        <v>0</v>
      </c>
      <c r="B4" s="52" t="s">
        <v>272</v>
      </c>
      <c r="C4" s="52" t="s">
        <v>468</v>
      </c>
      <c r="D4" s="53">
        <v>3602229.1400008202</v>
      </c>
      <c r="E4" s="53">
        <v>217209238.22</v>
      </c>
      <c r="F4" s="53">
        <v>212155561.33000001</v>
      </c>
      <c r="G4" s="53">
        <v>8655906.0300006904</v>
      </c>
      <c r="I4" s="123">
        <v>1</v>
      </c>
      <c r="J4" t="str">
        <f>IFERROR(VLOOKUP(I4,'Balance a Ene'!$A$3:$C$300,2,FALSE),"")</f>
        <v/>
      </c>
      <c r="K4" t="str">
        <f>IFERROR(VLOOKUP(I4,'Balance a Ene'!$A$3:$C$300,3,FALSE),"")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</row>
    <row r="5" spans="1:13">
      <c r="A5">
        <f>IFERROR(IF(B5="",0,IF(VALUE(LEFT(B5,1))&gt;3,VLOOKUP(VALUE(B5),PROYECCIONES!B:D,3,FALSE),0)),1 + COUNTIF($A$2:A4,"&gt;0"))</f>
        <v>0</v>
      </c>
      <c r="B5" s="52" t="s">
        <v>273</v>
      </c>
      <c r="C5" s="52" t="s">
        <v>469</v>
      </c>
      <c r="D5" s="53">
        <v>2038.61000000685</v>
      </c>
      <c r="E5" s="53">
        <v>0</v>
      </c>
      <c r="F5" s="53">
        <v>0</v>
      </c>
      <c r="G5" s="53">
        <v>2038.61000000685</v>
      </c>
      <c r="I5" s="123">
        <v>2</v>
      </c>
      <c r="J5" t="str">
        <f>IFERROR(VLOOKUP(I5,'Balance a Ene'!$A$3:$C$300,2,FALSE),"")</f>
        <v/>
      </c>
      <c r="K5" t="str">
        <f>IFERROR(VLOOKUP(I5,'Balance a Ene'!$A$3:$C$300,3,FALSE),"")</f>
        <v/>
      </c>
      <c r="L5" t="str">
        <f>IFERROR(IF(AND(VALUE(LEFT(J5,1))&gt;=6,VALUE(LEFT(J5,1))&lt;=7),_xlfn.XMATCH(VALUE(J5),PROYECCIONES!$B$1:$B$38,-1,1),_xlfn.XMATCH(VALUE(J5),PROYECCIONES!$B$1:$B$333,-1,1)),"")</f>
        <v/>
      </c>
    </row>
    <row r="6" spans="1:13">
      <c r="A6">
        <f>IFERROR(IF(B6="",0,IF(VALUE(LEFT(B6,1))&gt;3,VLOOKUP(VALUE(B6),PROYECCIONES!B:D,3,FALSE),0)),1 + COUNTIF($A$2:A5,"&gt;0"))</f>
        <v>0</v>
      </c>
      <c r="B6" s="52" t="s">
        <v>418</v>
      </c>
      <c r="C6" s="52" t="s">
        <v>470</v>
      </c>
      <c r="D6" s="53">
        <v>30748859.73</v>
      </c>
      <c r="E6" s="53">
        <v>60838750</v>
      </c>
      <c r="F6" s="53">
        <v>63843831.579999998</v>
      </c>
      <c r="G6" s="53">
        <v>27743778.149999999</v>
      </c>
      <c r="I6" s="123">
        <v>3</v>
      </c>
      <c r="J6" t="str">
        <f>IFERROR(VLOOKUP(I6,'Balance a Ene'!$A$3:$C$300,2,FALSE),"")</f>
        <v/>
      </c>
      <c r="K6" t="str">
        <f>IFERROR(VLOOKUP(I6,'Balance a Ene'!$A$3:$C$300,3,FALSE),"")</f>
        <v/>
      </c>
      <c r="L6" t="str">
        <f>IFERROR(IF(AND(VALUE(LEFT(J6,1))&gt;=6,VALUE(LEFT(J6,1))&lt;=7),_xlfn.XMATCH(VALUE(J6),PROYECCIONES!$B$1:$B$38,-1,1),_xlfn.XMATCH(VALUE(J6),PROYECCIONES!$B$1:$B$333,-1,1)),"")</f>
        <v/>
      </c>
    </row>
    <row r="7" spans="1:13">
      <c r="A7">
        <f>IFERROR(IF(B7="",0,IF(VALUE(LEFT(B7,1))&gt;3,VLOOKUP(VALUE(B7),PROYECCIONES!B:D,3,FALSE),0)),1 + COUNTIF($A$2:A6,"&gt;0"))</f>
        <v>0</v>
      </c>
      <c r="B7" s="52" t="s">
        <v>118</v>
      </c>
      <c r="C7" s="52" t="s">
        <v>225</v>
      </c>
      <c r="D7" s="53">
        <v>38903066.089999899</v>
      </c>
      <c r="E7" s="53">
        <v>259275588.91</v>
      </c>
      <c r="F7" s="53">
        <v>271215397</v>
      </c>
      <c r="G7" s="53">
        <v>26963258</v>
      </c>
      <c r="I7" s="123">
        <v>4</v>
      </c>
      <c r="J7" t="str">
        <f>IFERROR(VLOOKUP(I7,'Balance a Ene'!$A$3:$C$300,2,FALSE),"")</f>
        <v/>
      </c>
      <c r="K7" t="str">
        <f>IFERROR(VLOOKUP(I7,'Balance a Ene'!$A$3:$C$300,3,FALSE),"")</f>
        <v/>
      </c>
      <c r="L7" t="str">
        <f>IFERROR(IF(AND(VALUE(LEFT(J7,1))&gt;=6,VALUE(LEFT(J7,1))&lt;=7),_xlfn.XMATCH(VALUE(J7),PROYECCIONES!$B$1:$B$38,-1,1),_xlfn.XMATCH(VALUE(J7),PROYECCIONES!$B$1:$B$333,-1,1)),"")</f>
        <v/>
      </c>
    </row>
    <row r="8" spans="1:13">
      <c r="A8">
        <f>IFERROR(IF(B8="",0,IF(VALUE(LEFT(B8,1))&gt;3,VLOOKUP(VALUE(B8),PROYECCIONES!B:D,3,FALSE),0)),1 + COUNTIF($A$2:A7,"&gt;0"))</f>
        <v>0</v>
      </c>
      <c r="B8" s="52" t="s">
        <v>274</v>
      </c>
      <c r="C8" s="52" t="s">
        <v>226</v>
      </c>
      <c r="D8" s="53">
        <v>239052845.71000001</v>
      </c>
      <c r="E8" s="53">
        <v>52183028.579999998</v>
      </c>
      <c r="F8" s="53">
        <v>18147060.68</v>
      </c>
      <c r="G8" s="53">
        <v>273088813.61000001</v>
      </c>
      <c r="I8" s="123">
        <v>5</v>
      </c>
      <c r="J8" t="str">
        <f>IFERROR(VLOOKUP(I8,'Balance a Ene'!$A$3:$C$300,2,FALSE),"")</f>
        <v/>
      </c>
      <c r="K8" t="str">
        <f>IFERROR(VLOOKUP(I8,'Balance a Ene'!$A$3:$C$300,3,FALSE),"")</f>
        <v/>
      </c>
      <c r="L8" t="str">
        <f>IFERROR(IF(AND(VALUE(LEFT(J8,1))&gt;=6,VALUE(LEFT(J8,1))&lt;=7),_xlfn.XMATCH(VALUE(J8),PROYECCIONES!$B$1:$B$38,-1,1),_xlfn.XMATCH(VALUE(J8),PROYECCIONES!$B$1:$B$333,-1,1)),"")</f>
        <v/>
      </c>
    </row>
    <row r="9" spans="1:13">
      <c r="A9">
        <f>IFERROR(IF(B9="",0,IF(VALUE(LEFT(B9,1))&gt;3,VLOOKUP(VALUE(B9),PROYECCIONES!B:D,3,FALSE),0)),1 + COUNTIF($A$2:A8,"&gt;0"))</f>
        <v>0</v>
      </c>
      <c r="B9" s="52" t="s">
        <v>275</v>
      </c>
      <c r="C9" s="52" t="s">
        <v>227</v>
      </c>
      <c r="D9" s="53">
        <v>14200000</v>
      </c>
      <c r="E9" s="53">
        <v>2100000</v>
      </c>
      <c r="F9" s="53">
        <v>0</v>
      </c>
      <c r="G9" s="53">
        <v>16300000</v>
      </c>
      <c r="I9" s="123">
        <v>6</v>
      </c>
      <c r="J9" t="str">
        <f>IFERROR(VLOOKUP(I9,'Balance a Ene'!$A$3:$C$300,2,FALSE),"")</f>
        <v/>
      </c>
      <c r="K9" t="str">
        <f>IFERROR(VLOOKUP(I9,'Balance a Ene'!$A$3:$C$300,3,FALSE),"")</f>
        <v/>
      </c>
      <c r="L9" t="str">
        <f>IFERROR(IF(AND(VALUE(LEFT(J9,1))&gt;=6,VALUE(LEFT(J9,1))&lt;=7),_xlfn.XMATCH(VALUE(J9),PROYECCIONES!$B$1:$B$38,-1,1),_xlfn.XMATCH(VALUE(J9),PROYECCIONES!$B$1:$B$333,-1,1)),"")</f>
        <v/>
      </c>
    </row>
    <row r="10" spans="1:13">
      <c r="A10">
        <f>IFERROR(IF(B10="",0,IF(VALUE(LEFT(B10,1))&gt;3,VLOOKUP(VALUE(B10),PROYECCIONES!B:D,3,FALSE),0)),1 + COUNTIF($A$2:A9,"&gt;0"))</f>
        <v>0</v>
      </c>
      <c r="B10" s="52" t="s">
        <v>276</v>
      </c>
      <c r="C10" s="52" t="s">
        <v>228</v>
      </c>
      <c r="D10" s="53">
        <v>35066662</v>
      </c>
      <c r="E10" s="53">
        <v>2000008</v>
      </c>
      <c r="F10" s="53">
        <v>1000000</v>
      </c>
      <c r="G10" s="53">
        <v>36066670</v>
      </c>
      <c r="I10" s="123">
        <v>7</v>
      </c>
      <c r="J10" t="str">
        <f>IFERROR(VLOOKUP(I10,'Balance a Ene'!$A$3:$C$300,2,FALSE),"")</f>
        <v/>
      </c>
      <c r="K10" t="str">
        <f>IFERROR(VLOOKUP(I10,'Balance a Ene'!$A$3:$C$300,3,FALSE),"")</f>
        <v/>
      </c>
      <c r="L10" t="str">
        <f>IFERROR(IF(AND(VALUE(LEFT(J10,1))&gt;=6,VALUE(LEFT(J10,1))&lt;=7),_xlfn.XMATCH(VALUE(J10),PROYECCIONES!$B$1:$B$38,-1,1),_xlfn.XMATCH(VALUE(J10),PROYECCIONES!$B$1:$B$333,-1,1)),"")</f>
        <v/>
      </c>
    </row>
    <row r="11" spans="1:13">
      <c r="A11">
        <f>IFERROR(IF(B11="",0,IF(VALUE(LEFT(B11,1))&gt;3,VLOOKUP(VALUE(B11),PROYECCIONES!B:D,3,FALSE),0)),1 + COUNTIF($A$2:A10,"&gt;0"))</f>
        <v>0</v>
      </c>
      <c r="B11" s="52" t="s">
        <v>277</v>
      </c>
      <c r="C11" s="52" t="s">
        <v>229</v>
      </c>
      <c r="D11" s="53">
        <v>0</v>
      </c>
      <c r="E11" s="53">
        <v>11933498</v>
      </c>
      <c r="F11" s="53">
        <v>6359698</v>
      </c>
      <c r="G11" s="53">
        <v>5573800</v>
      </c>
      <c r="I11" s="123">
        <v>8</v>
      </c>
      <c r="J11" t="str">
        <f>IFERROR(VLOOKUP(I11,'Balance a Ene'!$A$3:$C$300,2,FALSE),"")</f>
        <v/>
      </c>
      <c r="K11" t="str">
        <f>IFERROR(VLOOKUP(I11,'Balance a Ene'!$A$3:$C$300,3,FALSE),"")</f>
        <v/>
      </c>
      <c r="L11" t="str">
        <f>IFERROR(IF(AND(VALUE(LEFT(J11,1))&gt;=6,VALUE(LEFT(J11,1))&lt;=7),_xlfn.XMATCH(VALUE(J11),PROYECCIONES!$B$1:$B$38,-1,1),_xlfn.XMATCH(VALUE(J11),PROYECCIONES!$B$1:$B$333,-1,1)),"")</f>
        <v/>
      </c>
    </row>
    <row r="12" spans="1:13">
      <c r="A12">
        <f>IFERROR(IF(B12="",0,IF(VALUE(LEFT(B12,1))&gt;3,VLOOKUP(VALUE(B12),PROYECCIONES!B:D,3,FALSE),0)),1 + COUNTIF($A$2:A11,"&gt;0"))</f>
        <v>0</v>
      </c>
      <c r="B12" s="52" t="s">
        <v>278</v>
      </c>
      <c r="C12" s="52" t="s">
        <v>230</v>
      </c>
      <c r="D12" s="53">
        <v>55910253.5</v>
      </c>
      <c r="E12" s="53">
        <v>24426371</v>
      </c>
      <c r="F12" s="53">
        <v>56306253.5</v>
      </c>
      <c r="G12" s="53">
        <v>24030371</v>
      </c>
      <c r="I12" s="123">
        <v>9</v>
      </c>
      <c r="J12" t="str">
        <f>IFERROR(VLOOKUP(I12,'Balance a Ene'!$A$3:$C$300,2,FALSE),"")</f>
        <v/>
      </c>
      <c r="K12" t="str">
        <f>IFERROR(VLOOKUP(I12,'Balance a Ene'!$A$3:$C$300,3,FALSE),"")</f>
        <v/>
      </c>
      <c r="L12" t="str">
        <f>IFERROR(IF(AND(VALUE(LEFT(J12,1))&gt;=6,VALUE(LEFT(J12,1))&lt;=7),_xlfn.XMATCH(VALUE(J12),PROYECCIONES!$B$1:$B$38,-1,1),_xlfn.XMATCH(VALUE(J12),PROYECCIONES!$B$1:$B$333,-1,1)),"")</f>
        <v/>
      </c>
    </row>
    <row r="13" spans="1:13">
      <c r="A13">
        <f>IFERROR(IF(B13="",0,IF(VALUE(LEFT(B13,1))&gt;3,VLOOKUP(VALUE(B13),PROYECCIONES!B:D,3,FALSE),0)),1 + COUNTIF($A$2:A12,"&gt;0"))</f>
        <v>0</v>
      </c>
      <c r="B13" s="52" t="s">
        <v>425</v>
      </c>
      <c r="C13" s="52" t="s">
        <v>426</v>
      </c>
      <c r="D13" s="53">
        <v>230000</v>
      </c>
      <c r="E13" s="53">
        <v>0</v>
      </c>
      <c r="F13" s="53">
        <v>0</v>
      </c>
      <c r="G13" s="53">
        <v>230000</v>
      </c>
      <c r="I13" s="123">
        <v>10</v>
      </c>
      <c r="J13" t="str">
        <f>IFERROR(VLOOKUP(I13,'Balance a Ene'!$A$3:$C$300,2,FALSE),"")</f>
        <v/>
      </c>
      <c r="K13" t="str">
        <f>IFERROR(VLOOKUP(I13,'Balance a Ene'!$A$3:$C$300,3,FALSE),"")</f>
        <v/>
      </c>
      <c r="L13" t="str">
        <f>IFERROR(IF(AND(VALUE(LEFT(J13,1))&gt;=6,VALUE(LEFT(J13,1))&lt;=7),_xlfn.XMATCH(VALUE(J13),PROYECCIONES!$B$1:$B$38,-1,1),_xlfn.XMATCH(VALUE(J13),PROYECCIONES!$B$1:$B$333,-1,1)),"")</f>
        <v/>
      </c>
    </row>
    <row r="14" spans="1:13">
      <c r="A14">
        <f>IFERROR(IF(B14="",0,IF(VALUE(LEFT(B14,1))&gt;3,VLOOKUP(VALUE(B14),PROYECCIONES!B:D,3,FALSE),0)),1 + COUNTIF($A$2:A13,"&gt;0"))</f>
        <v>0</v>
      </c>
      <c r="B14" s="52" t="s">
        <v>454</v>
      </c>
      <c r="C14" s="52" t="s">
        <v>455</v>
      </c>
      <c r="D14" s="53">
        <v>24000</v>
      </c>
      <c r="E14" s="53">
        <v>0</v>
      </c>
      <c r="F14" s="53">
        <v>24000</v>
      </c>
      <c r="G14" s="53">
        <v>0</v>
      </c>
      <c r="I14" s="123">
        <v>11</v>
      </c>
      <c r="J14" t="str">
        <f>IFERROR(VLOOKUP(I14,'Balance a Ene'!$A$3:$C$300,2,FALSE),"")</f>
        <v/>
      </c>
      <c r="K14" t="str">
        <f>IFERROR(VLOOKUP(I14,'Balance a Ene'!$A$3:$C$300,3,FALSE),"")</f>
        <v/>
      </c>
      <c r="L14" t="str">
        <f>IFERROR(IF(AND(VALUE(LEFT(J14,1))&gt;=6,VALUE(LEFT(J14,1))&lt;=7),_xlfn.XMATCH(VALUE(J14),PROYECCIONES!$B$1:$B$38,-1,1),_xlfn.XMATCH(VALUE(J14),PROYECCIONES!$B$1:$B$333,-1,1)),"")</f>
        <v/>
      </c>
    </row>
    <row r="15" spans="1:13">
      <c r="A15">
        <f>IFERROR(IF(B15="",0,IF(VALUE(LEFT(B15,1))&gt;3,VLOOKUP(VALUE(B15),PROYECCIONES!B:D,3,FALSE),0)),1 + COUNTIF($A$2:A14,"&gt;0"))</f>
        <v>0</v>
      </c>
      <c r="B15" s="52" t="s">
        <v>279</v>
      </c>
      <c r="C15" s="52" t="s">
        <v>231</v>
      </c>
      <c r="D15" s="53">
        <v>922339.449999996</v>
      </c>
      <c r="E15" s="53">
        <v>1327389</v>
      </c>
      <c r="F15" s="53">
        <v>2143523</v>
      </c>
      <c r="G15" s="53">
        <v>106205.449999996</v>
      </c>
      <c r="I15" s="123">
        <v>12</v>
      </c>
      <c r="J15" t="str">
        <f>IFERROR(VLOOKUP(I15,'Balance a Ene'!$A$3:$C$300,2,FALSE),"")</f>
        <v/>
      </c>
      <c r="K15" t="str">
        <f>IFERROR(VLOOKUP(I15,'Balance a Ene'!$A$3:$C$300,3,FALSE),"")</f>
        <v/>
      </c>
      <c r="L15" t="str">
        <f>IFERROR(IF(AND(VALUE(LEFT(J15,1))&gt;=6,VALUE(LEFT(J15,1))&lt;=7),_xlfn.XMATCH(VALUE(J15),PROYECCIONES!$B$1:$B$38,-1,1),_xlfn.XMATCH(VALUE(J15),PROYECCIONES!$B$1:$B$333,-1,1)),"")</f>
        <v/>
      </c>
    </row>
    <row r="16" spans="1:13">
      <c r="A16">
        <f>IFERROR(IF(B16="",0,IF(VALUE(LEFT(B16,1))&gt;3,VLOOKUP(VALUE(B16),PROYECCIONES!B:D,3,FALSE),0)),1 + COUNTIF($A$2:A15,"&gt;0"))</f>
        <v>0</v>
      </c>
      <c r="B16" s="52" t="s">
        <v>280</v>
      </c>
      <c r="C16" s="52" t="s">
        <v>232</v>
      </c>
      <c r="D16" s="53">
        <v>1595197.91</v>
      </c>
      <c r="E16" s="53">
        <v>417955</v>
      </c>
      <c r="F16" s="53">
        <v>0</v>
      </c>
      <c r="G16" s="53">
        <v>2013152.91</v>
      </c>
      <c r="I16" s="123">
        <v>13</v>
      </c>
      <c r="J16" t="str">
        <f>IFERROR(VLOOKUP(I16,'Balance a Ene'!$A$3:$C$300,2,FALSE),"")</f>
        <v/>
      </c>
      <c r="K16" t="str">
        <f>IFERROR(VLOOKUP(I16,'Balance a Ene'!$A$3:$C$300,3,FALSE),"")</f>
        <v/>
      </c>
      <c r="L16" t="str">
        <f>IFERROR(IF(AND(VALUE(LEFT(J16,1))&gt;=6,VALUE(LEFT(J16,1))&lt;=7),_xlfn.XMATCH(VALUE(J16),PROYECCIONES!$B$1:$B$38,-1,1),_xlfn.XMATCH(VALUE(J16),PROYECCIONES!$B$1:$B$333,-1,1)),"")</f>
        <v/>
      </c>
    </row>
    <row r="17" spans="1:12">
      <c r="A17">
        <f>IFERROR(IF(B17="",0,IF(VALUE(LEFT(B17,1))&gt;3,VLOOKUP(VALUE(B17),PROYECCIONES!B:D,3,FALSE),0)),1 + COUNTIF($A$2:A16,"&gt;0"))</f>
        <v>0</v>
      </c>
      <c r="B17" s="52" t="s">
        <v>281</v>
      </c>
      <c r="C17" s="52" t="s">
        <v>233</v>
      </c>
      <c r="D17" s="53">
        <v>0</v>
      </c>
      <c r="E17" s="53">
        <v>49440</v>
      </c>
      <c r="F17" s="53">
        <v>0</v>
      </c>
      <c r="G17" s="53">
        <v>49440</v>
      </c>
      <c r="I17" s="123">
        <v>14</v>
      </c>
      <c r="J17" t="str">
        <f>IFERROR(VLOOKUP(I17,'Balance a Ene'!$A$3:$C$300,2,FALSE),"")</f>
        <v/>
      </c>
      <c r="K17" t="str">
        <f>IFERROR(VLOOKUP(I17,'Balance a Ene'!$A$3:$C$300,3,FALSE),"")</f>
        <v/>
      </c>
      <c r="L17" t="str">
        <f>IFERROR(IF(AND(VALUE(LEFT(J17,1))&gt;=6,VALUE(LEFT(J17,1))&lt;=7),_xlfn.XMATCH(VALUE(J17),PROYECCIONES!$B$1:$B$38,-1,1),_xlfn.XMATCH(VALUE(J17),PROYECCIONES!$B$1:$B$333,-1,1)),"")</f>
        <v/>
      </c>
    </row>
    <row r="18" spans="1:12">
      <c r="A18">
        <f>IFERROR(IF(B18="",0,IF(VALUE(LEFT(B18,1))&gt;3,VLOOKUP(VALUE(B18),PROYECCIONES!B:D,3,FALSE),0)),1 + COUNTIF($A$2:A17,"&gt;0"))</f>
        <v>0</v>
      </c>
      <c r="B18" s="52" t="s">
        <v>405</v>
      </c>
      <c r="C18" s="52" t="s">
        <v>406</v>
      </c>
      <c r="D18" s="53">
        <v>0</v>
      </c>
      <c r="E18" s="53">
        <v>191400</v>
      </c>
      <c r="F18" s="53">
        <v>0</v>
      </c>
      <c r="G18" s="53">
        <v>191400</v>
      </c>
      <c r="I18" s="123">
        <v>15</v>
      </c>
      <c r="J18" t="str">
        <f>IFERROR(VLOOKUP(I18,'Balance a Ene'!$A$3:$C$300,2,FALSE),"")</f>
        <v/>
      </c>
      <c r="K18" t="str">
        <f>IFERROR(VLOOKUP(I18,'Balance a Ene'!$A$3:$C$300,3,FALSE),"")</f>
        <v/>
      </c>
      <c r="L18" t="str">
        <f>IFERROR(IF(AND(VALUE(LEFT(J18,1))&gt;=6,VALUE(LEFT(J18,1))&lt;=7),_xlfn.XMATCH(VALUE(J18),PROYECCIONES!$B$1:$B$38,-1,1),_xlfn.XMATCH(VALUE(J18),PROYECCIONES!$B$1:$B$333,-1,1)),"")</f>
        <v/>
      </c>
    </row>
    <row r="19" spans="1:12">
      <c r="A19">
        <f>IFERROR(IF(B19="",0,IF(VALUE(LEFT(B19,1))&gt;3,VLOOKUP(VALUE(B19),PROYECCIONES!B:D,3,FALSE),0)),1 + COUNTIF($A$2:A18,"&gt;0"))</f>
        <v>0</v>
      </c>
      <c r="B19" s="52" t="s">
        <v>427</v>
      </c>
      <c r="C19" s="52" t="s">
        <v>428</v>
      </c>
      <c r="D19" s="53">
        <v>251700</v>
      </c>
      <c r="E19" s="53">
        <v>44200</v>
      </c>
      <c r="F19" s="53">
        <v>251700</v>
      </c>
      <c r="G19" s="53">
        <v>44200</v>
      </c>
    </row>
    <row r="20" spans="1:12">
      <c r="A20">
        <f>IFERROR(IF(B20="",0,IF(VALUE(LEFT(B20,1))&gt;3,VLOOKUP(VALUE(B20),PROYECCIONES!B:D,3,FALSE),0)),1 + COUNTIF($A$2:A19,"&gt;0"))</f>
        <v>0</v>
      </c>
      <c r="B20" s="52" t="s">
        <v>596</v>
      </c>
      <c r="C20" s="52" t="s">
        <v>597</v>
      </c>
      <c r="D20" s="53">
        <v>0</v>
      </c>
      <c r="E20" s="53">
        <v>37911254</v>
      </c>
      <c r="F20" s="53">
        <v>0</v>
      </c>
      <c r="G20" s="53">
        <v>37911254</v>
      </c>
    </row>
    <row r="21" spans="1:12">
      <c r="A21">
        <f>IFERROR(IF(B21="",0,IF(VALUE(LEFT(B21,1))&gt;3,VLOOKUP(VALUE(B21),PROYECCIONES!B:D,3,FALSE),0)),1 + COUNTIF($A$2:A20,"&gt;0"))</f>
        <v>0</v>
      </c>
      <c r="B21" s="52" t="s">
        <v>435</v>
      </c>
      <c r="C21" s="52" t="s">
        <v>436</v>
      </c>
      <c r="D21" s="53">
        <v>3625000</v>
      </c>
      <c r="E21" s="53">
        <v>0</v>
      </c>
      <c r="F21" s="53">
        <v>0</v>
      </c>
      <c r="G21" s="53">
        <v>3625000</v>
      </c>
    </row>
    <row r="22" spans="1:12">
      <c r="A22">
        <f>IFERROR(IF(B22="",0,IF(VALUE(LEFT(B22,1))&gt;3,VLOOKUP(VALUE(B22),PROYECCIONES!B:D,3,FALSE),0)),1 + COUNTIF($A$2:A21,"&gt;0"))</f>
        <v>0</v>
      </c>
      <c r="B22" s="52" t="s">
        <v>377</v>
      </c>
      <c r="C22" s="52" t="s">
        <v>373</v>
      </c>
      <c r="D22" s="53">
        <v>4742306</v>
      </c>
      <c r="E22" s="53">
        <v>1891412</v>
      </c>
      <c r="F22" s="53">
        <v>4779000</v>
      </c>
      <c r="G22" s="53">
        <v>1854718</v>
      </c>
    </row>
    <row r="23" spans="1:12">
      <c r="A23">
        <f>IFERROR(IF(B23="",0,IF(VALUE(LEFT(B23,1))&gt;3,VLOOKUP(VALUE(B23),PROYECCIONES!B:D,3,FALSE),0)),1 + COUNTIF($A$2:A22,"&gt;0"))</f>
        <v>0</v>
      </c>
      <c r="B23" s="52" t="s">
        <v>360</v>
      </c>
      <c r="C23" s="52" t="s">
        <v>361</v>
      </c>
      <c r="D23" s="53">
        <v>2530000</v>
      </c>
      <c r="E23" s="53">
        <v>880000</v>
      </c>
      <c r="F23" s="53">
        <v>2530000</v>
      </c>
      <c r="G23" s="53">
        <v>880000</v>
      </c>
    </row>
    <row r="24" spans="1:12">
      <c r="A24">
        <f>IFERROR(IF(B24="",0,IF(VALUE(LEFT(B24,1))&gt;3,VLOOKUP(VALUE(B24),PROYECCIONES!B:D,3,FALSE),0)),1 + COUNTIF($A$2:A23,"&gt;0"))</f>
        <v>0</v>
      </c>
      <c r="B24" s="52" t="s">
        <v>282</v>
      </c>
      <c r="C24" s="52" t="s">
        <v>234</v>
      </c>
      <c r="D24" s="53">
        <v>43467544</v>
      </c>
      <c r="E24" s="53">
        <v>0</v>
      </c>
      <c r="F24" s="53">
        <v>0</v>
      </c>
      <c r="G24" s="53">
        <v>43467544</v>
      </c>
    </row>
    <row r="25" spans="1:12">
      <c r="A25">
        <f>IFERROR(IF(B25="",0,IF(VALUE(LEFT(B25,1))&gt;3,VLOOKUP(VALUE(B25),PROYECCIONES!B:D,3,FALSE),0)),1 + COUNTIF($A$2:A24,"&gt;0"))</f>
        <v>0</v>
      </c>
      <c r="B25" s="52" t="s">
        <v>471</v>
      </c>
      <c r="C25" s="52" t="s">
        <v>472</v>
      </c>
      <c r="D25" s="53">
        <v>0</v>
      </c>
      <c r="E25" s="53">
        <v>181000</v>
      </c>
      <c r="F25" s="53">
        <v>181000</v>
      </c>
      <c r="G25" s="53">
        <v>0</v>
      </c>
    </row>
    <row r="26" spans="1:12">
      <c r="A26">
        <f>IFERROR(IF(B26="",0,IF(VALUE(LEFT(B26,1))&gt;3,VLOOKUP(VALUE(B26),PROYECCIONES!B:D,3,FALSE),0)),1 + COUNTIF($A$2:A25,"&gt;0"))</f>
        <v>0</v>
      </c>
      <c r="B26" s="52" t="s">
        <v>283</v>
      </c>
      <c r="C26" s="52" t="s">
        <v>235</v>
      </c>
      <c r="D26" s="53">
        <v>31548323.850000001</v>
      </c>
      <c r="E26" s="53">
        <v>760300</v>
      </c>
      <c r="F26" s="53">
        <v>2360300</v>
      </c>
      <c r="G26" s="53">
        <v>29948323.850000001</v>
      </c>
    </row>
    <row r="27" spans="1:12">
      <c r="A27">
        <f>IFERROR(IF(B27="",0,IF(VALUE(LEFT(B27,1))&gt;3,VLOOKUP(VALUE(B27),PROYECCIONES!B:D,3,FALSE),0)),1 + COUNTIF($A$2:A26,"&gt;0"))</f>
        <v>0</v>
      </c>
      <c r="B27" s="52" t="s">
        <v>378</v>
      </c>
      <c r="C27" s="52" t="s">
        <v>379</v>
      </c>
      <c r="D27" s="53">
        <v>900000</v>
      </c>
      <c r="E27" s="53">
        <v>0</v>
      </c>
      <c r="F27" s="53">
        <v>300000</v>
      </c>
      <c r="G27" s="53">
        <v>600000</v>
      </c>
    </row>
    <row r="28" spans="1:12">
      <c r="A28">
        <f>IFERROR(IF(B28="",0,IF(VALUE(LEFT(B28,1))&gt;3,VLOOKUP(VALUE(B28),PROYECCIONES!B:D,3,FALSE),0)),1 + COUNTIF($A$2:A27,"&gt;0"))</f>
        <v>0</v>
      </c>
      <c r="B28" s="52" t="s">
        <v>284</v>
      </c>
      <c r="C28" s="52" t="s">
        <v>236</v>
      </c>
      <c r="D28" s="53">
        <v>50000</v>
      </c>
      <c r="E28" s="53">
        <v>231422.34</v>
      </c>
      <c r="F28" s="53">
        <v>96950</v>
      </c>
      <c r="G28" s="53">
        <v>184472.34</v>
      </c>
    </row>
    <row r="29" spans="1:12">
      <c r="A29">
        <f>IFERROR(IF(B29="",0,IF(VALUE(LEFT(B29,1))&gt;3,VLOOKUP(VALUE(B29),PROYECCIONES!B:D,3,FALSE),0)),1 + COUNTIF($A$2:A28,"&gt;0"))</f>
        <v>0</v>
      </c>
      <c r="B29" s="52" t="s">
        <v>285</v>
      </c>
      <c r="C29" s="52" t="s">
        <v>237</v>
      </c>
      <c r="D29" s="53">
        <v>18023845.800000001</v>
      </c>
      <c r="E29" s="53">
        <v>0</v>
      </c>
      <c r="F29" s="53">
        <v>0</v>
      </c>
      <c r="G29" s="53">
        <v>18023845.800000001</v>
      </c>
    </row>
    <row r="30" spans="1:12">
      <c r="A30">
        <f>IFERROR(IF(B30="",0,IF(VALUE(LEFT(B30,1))&gt;3,VLOOKUP(VALUE(B30),PROYECCIONES!B:D,3,FALSE),0)),1 + COUNTIF($A$2:A29,"&gt;0"))</f>
        <v>0</v>
      </c>
      <c r="B30" s="52" t="s">
        <v>536</v>
      </c>
      <c r="C30" s="52" t="s">
        <v>537</v>
      </c>
      <c r="D30" s="53">
        <v>0</v>
      </c>
      <c r="E30" s="53">
        <v>8200000</v>
      </c>
      <c r="F30" s="53">
        <v>0</v>
      </c>
      <c r="G30" s="53">
        <v>8200000</v>
      </c>
    </row>
    <row r="31" spans="1:12">
      <c r="A31">
        <f>IFERROR(IF(B31="",0,IF(VALUE(LEFT(B31,1))&gt;3,VLOOKUP(VALUE(B31),PROYECCIONES!B:D,3,FALSE),0)),1 + COUNTIF($A$2:A30,"&gt;0"))</f>
        <v>0</v>
      </c>
      <c r="B31" s="52" t="s">
        <v>286</v>
      </c>
      <c r="C31" s="52" t="s">
        <v>238</v>
      </c>
      <c r="D31" s="53">
        <v>61490000</v>
      </c>
      <c r="E31" s="53">
        <v>0</v>
      </c>
      <c r="F31" s="53">
        <v>0</v>
      </c>
      <c r="G31" s="53">
        <v>61490000</v>
      </c>
    </row>
    <row r="32" spans="1:12">
      <c r="A32">
        <f>IFERROR(IF(B32="",0,IF(VALUE(LEFT(B32,1))&gt;3,VLOOKUP(VALUE(B32),PROYECCIONES!B:D,3,FALSE),0)),1 + COUNTIF($A$2:A31,"&gt;0"))</f>
        <v>0</v>
      </c>
      <c r="B32" s="52" t="s">
        <v>287</v>
      </c>
      <c r="C32" s="52" t="s">
        <v>239</v>
      </c>
      <c r="D32" s="53">
        <v>-6028466.0099999998</v>
      </c>
      <c r="E32" s="53">
        <v>0</v>
      </c>
      <c r="F32" s="53">
        <v>846553.12</v>
      </c>
      <c r="G32" s="53">
        <v>-6875019.1299999999</v>
      </c>
    </row>
    <row r="33" spans="1:7">
      <c r="A33">
        <f>IFERROR(IF(B33="",0,IF(VALUE(LEFT(B33,1))&gt;3,VLOOKUP(VALUE(B33),PROYECCIONES!B:D,3,FALSE),0)),1 + COUNTIF($A$2:A32,"&gt;0"))</f>
        <v>0</v>
      </c>
      <c r="B33" s="52" t="s">
        <v>288</v>
      </c>
      <c r="C33" s="52" t="s">
        <v>240</v>
      </c>
      <c r="D33" s="53">
        <v>-1588491.73</v>
      </c>
      <c r="E33" s="53">
        <v>0</v>
      </c>
      <c r="F33" s="53">
        <v>2049666.68</v>
      </c>
      <c r="G33" s="53">
        <v>-3638158.41</v>
      </c>
    </row>
    <row r="34" spans="1:7">
      <c r="A34">
        <f>IFERROR(IF(B34="",0,IF(VALUE(LEFT(B34,1))&gt;3,VLOOKUP(VALUE(B34),PROYECCIONES!B:D,3,FALSE),0)),1 + COUNTIF($A$2:A33,"&gt;0"))</f>
        <v>0</v>
      </c>
      <c r="B34" s="52" t="s">
        <v>289</v>
      </c>
      <c r="C34" s="52" t="s">
        <v>241</v>
      </c>
      <c r="D34" s="53">
        <v>880262</v>
      </c>
      <c r="E34" s="53">
        <v>0</v>
      </c>
      <c r="F34" s="53">
        <v>0</v>
      </c>
      <c r="G34" s="53">
        <v>880262</v>
      </c>
    </row>
    <row r="35" spans="1:7">
      <c r="A35">
        <f>IFERROR(IF(B35="",0,IF(VALUE(LEFT(B35,1))&gt;3,VLOOKUP(VALUE(B35),PROYECCIONES!B:D,3,FALSE),0)),1 + COUNTIF($A$2:A34,"&gt;0"))</f>
        <v>0</v>
      </c>
      <c r="B35" s="52" t="s">
        <v>290</v>
      </c>
      <c r="C35" s="52" t="s">
        <v>242</v>
      </c>
      <c r="D35" s="53">
        <v>-880262</v>
      </c>
      <c r="E35" s="53">
        <v>0</v>
      </c>
      <c r="F35" s="53">
        <v>0</v>
      </c>
      <c r="G35" s="53">
        <v>-880262</v>
      </c>
    </row>
    <row r="36" spans="1:7">
      <c r="A36">
        <f>IFERROR(IF(B36="",0,IF(VALUE(LEFT(B36,1))&gt;3,VLOOKUP(VALUE(B36),PROYECCIONES!B:D,3,FALSE),0)),1 + COUNTIF($A$2:A35,"&gt;0"))</f>
        <v>0</v>
      </c>
      <c r="B36" s="52" t="s">
        <v>473</v>
      </c>
      <c r="C36" s="52" t="s">
        <v>474</v>
      </c>
      <c r="D36" s="53">
        <v>1653107</v>
      </c>
      <c r="E36" s="53">
        <v>0</v>
      </c>
      <c r="F36" s="53">
        <v>1653107</v>
      </c>
      <c r="G36" s="53">
        <v>0</v>
      </c>
    </row>
    <row r="37" spans="1:7">
      <c r="A37">
        <f>IFERROR(IF(B37="",0,IF(VALUE(LEFT(B37,1))&gt;3,VLOOKUP(VALUE(B37),PROYECCIONES!B:D,3,FALSE),0)),1 + COUNTIF($A$2:A36,"&gt;0"))</f>
        <v>0</v>
      </c>
      <c r="B37" s="52" t="s">
        <v>520</v>
      </c>
      <c r="C37" s="52" t="s">
        <v>229</v>
      </c>
      <c r="D37" s="53">
        <v>0</v>
      </c>
      <c r="E37" s="53">
        <v>1876967</v>
      </c>
      <c r="F37" s="53">
        <v>1112133.32</v>
      </c>
      <c r="G37" s="53">
        <v>764833.68</v>
      </c>
    </row>
    <row r="38" spans="1:7">
      <c r="A38">
        <f>IFERROR(IF(B38="",0,IF(VALUE(LEFT(B38,1))&gt;3,VLOOKUP(VALUE(B38),PROYECCIONES!B:D,3,FALSE),0)),1 + COUNTIF($A$2:A37,"&gt;0"))</f>
        <v>0</v>
      </c>
      <c r="B38" s="52" t="s">
        <v>380</v>
      </c>
      <c r="C38" s="52" t="s">
        <v>374</v>
      </c>
      <c r="D38" s="53">
        <v>-87720410.230000004</v>
      </c>
      <c r="E38" s="53">
        <v>2418771</v>
      </c>
      <c r="F38" s="53">
        <v>270777.77</v>
      </c>
      <c r="G38" s="53">
        <v>-85572417</v>
      </c>
    </row>
    <row r="39" spans="1:7">
      <c r="A39">
        <f>IFERROR(IF(B39="",0,IF(VALUE(LEFT(B39,1))&gt;3,VLOOKUP(VALUE(B39),PROYECCIONES!B:D,3,FALSE),0)),1 + COUNTIF($A$2:A38,"&gt;0"))</f>
        <v>0</v>
      </c>
      <c r="B39" s="52" t="s">
        <v>458</v>
      </c>
      <c r="C39" s="52" t="s">
        <v>459</v>
      </c>
      <c r="D39" s="53">
        <v>4.65661287307739E-10</v>
      </c>
      <c r="E39" s="53">
        <v>2312905</v>
      </c>
      <c r="F39" s="53">
        <v>2312905</v>
      </c>
      <c r="G39" s="53">
        <v>0</v>
      </c>
    </row>
    <row r="40" spans="1:7">
      <c r="A40">
        <f>IFERROR(IF(B40="",0,IF(VALUE(LEFT(B40,1))&gt;3,VLOOKUP(VALUE(B40),PROYECCIONES!B:D,3,FALSE),0)),1 + COUNTIF($A$2:A39,"&gt;0"))</f>
        <v>0</v>
      </c>
      <c r="B40" s="52" t="s">
        <v>291</v>
      </c>
      <c r="C40" s="52" t="s">
        <v>243</v>
      </c>
      <c r="D40" s="53">
        <v>-427500</v>
      </c>
      <c r="E40" s="53">
        <v>10818750</v>
      </c>
      <c r="F40" s="53">
        <v>12714250</v>
      </c>
      <c r="G40" s="53">
        <v>-2323000</v>
      </c>
    </row>
    <row r="41" spans="1:7">
      <c r="A41">
        <f>IFERROR(IF(B41="",0,IF(VALUE(LEFT(B41,1))&gt;3,VLOOKUP(VALUE(B41),PROYECCIONES!B:D,3,FALSE),0)),1 + COUNTIF($A$2:A40,"&gt;0"))</f>
        <v>0</v>
      </c>
      <c r="B41" s="52" t="s">
        <v>292</v>
      </c>
      <c r="C41" s="52" t="s">
        <v>244</v>
      </c>
      <c r="D41" s="53">
        <v>0</v>
      </c>
      <c r="E41" s="53">
        <v>150000</v>
      </c>
      <c r="F41" s="53">
        <v>150000</v>
      </c>
      <c r="G41" s="53">
        <v>0</v>
      </c>
    </row>
    <row r="42" spans="1:7">
      <c r="A42">
        <f>IFERROR(IF(B42="",0,IF(VALUE(LEFT(B42,1))&gt;3,VLOOKUP(VALUE(B42),PROYECCIONES!B:D,3,FALSE),0)),1 + COUNTIF($A$2:A41,"&gt;0"))</f>
        <v>0</v>
      </c>
      <c r="B42" s="52" t="s">
        <v>293</v>
      </c>
      <c r="C42" s="52" t="s">
        <v>245</v>
      </c>
      <c r="D42" s="53">
        <v>0</v>
      </c>
      <c r="E42" s="53">
        <v>5946127</v>
      </c>
      <c r="F42" s="53">
        <v>5946127</v>
      </c>
      <c r="G42" s="53">
        <v>0</v>
      </c>
    </row>
    <row r="43" spans="1:7">
      <c r="A43">
        <f>IFERROR(IF(B43="",0,IF(VALUE(LEFT(B43,1))&gt;3,VLOOKUP(VALUE(B43),PROYECCIONES!B:D,3,FALSE),0)),1 + COUNTIF($A$2:A42,"&gt;0"))</f>
        <v>0</v>
      </c>
      <c r="B43" s="52" t="s">
        <v>294</v>
      </c>
      <c r="C43" s="52" t="s">
        <v>246</v>
      </c>
      <c r="D43" s="53">
        <v>-259026</v>
      </c>
      <c r="E43" s="53">
        <v>2962309.01</v>
      </c>
      <c r="F43" s="53">
        <v>3020736.01</v>
      </c>
      <c r="G43" s="53">
        <v>-317453</v>
      </c>
    </row>
    <row r="44" spans="1:7">
      <c r="A44">
        <f>IFERROR(IF(B44="",0,IF(VALUE(LEFT(B44,1))&gt;3,VLOOKUP(VALUE(B44),PROYECCIONES!B:D,3,FALSE),0)),1 + COUNTIF($A$2:A43,"&gt;0"))</f>
        <v>0</v>
      </c>
      <c r="B44" s="52" t="s">
        <v>460</v>
      </c>
      <c r="C44" s="52" t="s">
        <v>461</v>
      </c>
      <c r="D44" s="53">
        <v>0</v>
      </c>
      <c r="E44" s="53">
        <v>3700000</v>
      </c>
      <c r="F44" s="53">
        <v>3804370</v>
      </c>
      <c r="G44" s="53">
        <v>-104370</v>
      </c>
    </row>
    <row r="45" spans="1:7">
      <c r="A45">
        <f>IFERROR(IF(B45="",0,IF(VALUE(LEFT(B45,1))&gt;3,VLOOKUP(VALUE(B45),PROYECCIONES!B:D,3,FALSE),0)),1 + COUNTIF($A$2:A44,"&gt;0"))</f>
        <v>0</v>
      </c>
      <c r="B45" s="52" t="s">
        <v>407</v>
      </c>
      <c r="C45" s="52" t="s">
        <v>408</v>
      </c>
      <c r="D45" s="53">
        <v>0</v>
      </c>
      <c r="E45" s="53">
        <v>344180</v>
      </c>
      <c r="F45" s="53">
        <v>344180</v>
      </c>
      <c r="G45" s="53">
        <v>0</v>
      </c>
    </row>
    <row r="46" spans="1:7">
      <c r="A46">
        <f>IFERROR(IF(B46="",0,IF(VALUE(LEFT(B46,1))&gt;3,VLOOKUP(VALUE(B46),PROYECCIONES!B:D,3,FALSE),0)),1 + COUNTIF($A$2:A45,"&gt;0"))</f>
        <v>0</v>
      </c>
      <c r="B46" s="52" t="s">
        <v>410</v>
      </c>
      <c r="C46" s="52" t="s">
        <v>411</v>
      </c>
      <c r="D46" s="53">
        <v>0</v>
      </c>
      <c r="E46" s="53">
        <v>115242</v>
      </c>
      <c r="F46" s="53">
        <v>115242</v>
      </c>
      <c r="G46" s="53">
        <v>0</v>
      </c>
    </row>
    <row r="47" spans="1:7">
      <c r="A47">
        <f>IFERROR(IF(B47="",0,IF(VALUE(LEFT(B47,1))&gt;3,VLOOKUP(VALUE(B47),PROYECCIONES!B:D,3,FALSE),0)),1 + COUNTIF($A$2:A46,"&gt;0"))</f>
        <v>0</v>
      </c>
      <c r="B47" s="52" t="s">
        <v>295</v>
      </c>
      <c r="C47" s="52" t="s">
        <v>247</v>
      </c>
      <c r="D47" s="53">
        <v>0</v>
      </c>
      <c r="E47" s="53">
        <v>9797179.7599999998</v>
      </c>
      <c r="F47" s="53">
        <v>11760090.48</v>
      </c>
      <c r="G47" s="53">
        <v>-1962910.72</v>
      </c>
    </row>
    <row r="48" spans="1:7">
      <c r="A48">
        <f>IFERROR(IF(B48="",0,IF(VALUE(LEFT(B48,1))&gt;3,VLOOKUP(VALUE(B48),PROYECCIONES!B:D,3,FALSE),0)),1 + COUNTIF($A$2:A47,"&gt;0"))</f>
        <v>0</v>
      </c>
      <c r="B48" s="52" t="s">
        <v>86</v>
      </c>
      <c r="C48" s="52" t="s">
        <v>248</v>
      </c>
      <c r="D48" s="53">
        <v>-118268.9</v>
      </c>
      <c r="E48" s="53">
        <v>385350.94</v>
      </c>
      <c r="F48" s="53">
        <v>267082.03999999998</v>
      </c>
      <c r="G48" s="53">
        <v>0</v>
      </c>
    </row>
    <row r="49" spans="1:7">
      <c r="A49">
        <f>IFERROR(IF(B49="",0,IF(VALUE(LEFT(B49,1))&gt;3,VLOOKUP(VALUE(B49),PROYECCIONES!B:D,3,FALSE),0)),1 + COUNTIF($A$2:A48,"&gt;0"))</f>
        <v>0</v>
      </c>
      <c r="B49" s="52" t="s">
        <v>538</v>
      </c>
      <c r="C49" s="52" t="s">
        <v>539</v>
      </c>
      <c r="D49" s="53">
        <v>0</v>
      </c>
      <c r="E49" s="53">
        <v>0</v>
      </c>
      <c r="F49" s="53">
        <v>6148.68</v>
      </c>
      <c r="G49" s="53">
        <v>-6148.68</v>
      </c>
    </row>
    <row r="50" spans="1:7">
      <c r="A50">
        <f>IFERROR(IF(B50="",0,IF(VALUE(LEFT(B50,1))&gt;3,VLOOKUP(VALUE(B50),PROYECCIONES!B:D,3,FALSE),0)),1 + COUNTIF($A$2:A49,"&gt;0"))</f>
        <v>0</v>
      </c>
      <c r="B50" s="52" t="s">
        <v>87</v>
      </c>
      <c r="C50" s="52" t="s">
        <v>483</v>
      </c>
      <c r="D50" s="53">
        <v>0</v>
      </c>
      <c r="E50" s="53">
        <v>21600</v>
      </c>
      <c r="F50" s="53">
        <v>21600</v>
      </c>
      <c r="G50" s="53">
        <v>0</v>
      </c>
    </row>
    <row r="51" spans="1:7">
      <c r="A51">
        <f>IFERROR(IF(B51="",0,IF(VALUE(LEFT(B51,1))&gt;3,VLOOKUP(VALUE(B51),PROYECCIONES!B:D,3,FALSE),0)),1 + COUNTIF($A$2:A50,"&gt;0"))</f>
        <v>0</v>
      </c>
      <c r="B51" s="52" t="s">
        <v>362</v>
      </c>
      <c r="C51" s="52" t="s">
        <v>592</v>
      </c>
      <c r="D51" s="53">
        <v>-20300</v>
      </c>
      <c r="E51" s="53">
        <v>20300</v>
      </c>
      <c r="F51" s="53">
        <v>0</v>
      </c>
      <c r="G51" s="53">
        <v>0</v>
      </c>
    </row>
    <row r="52" spans="1:7">
      <c r="A52">
        <f>IFERROR(IF(B52="",0,IF(VALUE(LEFT(B52,1))&gt;3,VLOOKUP(VALUE(B52),PROYECCIONES!B:D,3,FALSE),0)),1 + COUNTIF($A$2:A51,"&gt;0"))</f>
        <v>0</v>
      </c>
      <c r="B52" s="52" t="s">
        <v>88</v>
      </c>
      <c r="C52" s="52" t="s">
        <v>585</v>
      </c>
      <c r="D52" s="53">
        <v>-74424.880000000107</v>
      </c>
      <c r="E52" s="53">
        <v>74424.59</v>
      </c>
      <c r="F52" s="53">
        <v>0</v>
      </c>
      <c r="G52" s="53">
        <v>-0.29000000003725301</v>
      </c>
    </row>
    <row r="53" spans="1:7">
      <c r="A53">
        <f>IFERROR(IF(B53="",0,IF(VALUE(LEFT(B53,1))&gt;3,VLOOKUP(VALUE(B53),PROYECCIONES!B:D,3,FALSE),0)),1 + COUNTIF($A$2:A52,"&gt;0"))</f>
        <v>0</v>
      </c>
      <c r="B53" s="52" t="s">
        <v>413</v>
      </c>
      <c r="C53" s="52" t="s">
        <v>586</v>
      </c>
      <c r="D53" s="53">
        <v>0</v>
      </c>
      <c r="E53" s="53">
        <v>248355.93</v>
      </c>
      <c r="F53" s="53">
        <v>315001.96999999997</v>
      </c>
      <c r="G53" s="53">
        <v>-66646.039999999994</v>
      </c>
    </row>
    <row r="54" spans="1:7">
      <c r="A54">
        <f>IFERROR(IF(B54="",0,IF(VALUE(LEFT(B54,1))&gt;3,VLOOKUP(VALUE(B54),PROYECCIONES!B:D,3,FALSE),0)),1 + COUNTIF($A$2:A53,"&gt;0"))</f>
        <v>0</v>
      </c>
      <c r="B54" s="52" t="s">
        <v>296</v>
      </c>
      <c r="C54" s="52" t="s">
        <v>249</v>
      </c>
      <c r="D54" s="53">
        <v>-83618</v>
      </c>
      <c r="E54" s="53">
        <v>213051</v>
      </c>
      <c r="F54" s="53">
        <v>175248</v>
      </c>
      <c r="G54" s="53">
        <v>-45815</v>
      </c>
    </row>
    <row r="55" spans="1:7">
      <c r="A55">
        <f>IFERROR(IF(B55="",0,IF(VALUE(LEFT(B55,1))&gt;3,VLOOKUP(VALUE(B55),PROYECCIONES!B:D,3,FALSE),0)),1 + COUNTIF($A$2:A54,"&gt;0"))</f>
        <v>0</v>
      </c>
      <c r="B55" s="52" t="s">
        <v>462</v>
      </c>
      <c r="C55" s="52" t="s">
        <v>463</v>
      </c>
      <c r="D55" s="53">
        <v>0</v>
      </c>
      <c r="E55" s="53">
        <v>82104.5</v>
      </c>
      <c r="F55" s="53">
        <v>82104.5</v>
      </c>
      <c r="G55" s="53">
        <v>0</v>
      </c>
    </row>
    <row r="56" spans="1:7">
      <c r="A56">
        <f>IFERROR(IF(B56="",0,IF(VALUE(LEFT(B56,1))&gt;3,VLOOKUP(VALUE(B56),PROYECCIONES!B:D,3,FALSE),0)),1 + COUNTIF($A$2:A55,"&gt;0"))</f>
        <v>0</v>
      </c>
      <c r="B56" s="52" t="s">
        <v>297</v>
      </c>
      <c r="C56" s="52" t="s">
        <v>250</v>
      </c>
      <c r="D56" s="53">
        <v>-1027152</v>
      </c>
      <c r="E56" s="53">
        <v>2372350</v>
      </c>
      <c r="F56" s="53">
        <v>1891412</v>
      </c>
      <c r="G56" s="53">
        <v>-546214</v>
      </c>
    </row>
    <row r="57" spans="1:7">
      <c r="A57">
        <f>IFERROR(IF(B57="",0,IF(VALUE(LEFT(B57,1))&gt;3,VLOOKUP(VALUE(B57),PROYECCIONES!B:D,3,FALSE),0)),1 + COUNTIF($A$2:A56,"&gt;0"))</f>
        <v>0</v>
      </c>
      <c r="B57" s="52" t="s">
        <v>363</v>
      </c>
      <c r="C57" s="52" t="s">
        <v>437</v>
      </c>
      <c r="D57" s="53">
        <v>-440000</v>
      </c>
      <c r="E57" s="53">
        <v>1100000</v>
      </c>
      <c r="F57" s="53">
        <v>880000</v>
      </c>
      <c r="G57" s="53">
        <v>-220000</v>
      </c>
    </row>
    <row r="58" spans="1:7">
      <c r="A58">
        <f>IFERROR(IF(B58="",0,IF(VALUE(LEFT(B58,1))&gt;3,VLOOKUP(VALUE(B58),PROYECCIONES!B:D,3,FALSE),0)),1 + COUNTIF($A$2:A57,"&gt;0"))</f>
        <v>0</v>
      </c>
      <c r="B58" s="52" t="s">
        <v>438</v>
      </c>
      <c r="C58" s="52" t="s">
        <v>439</v>
      </c>
      <c r="D58" s="53">
        <v>0</v>
      </c>
      <c r="E58" s="53">
        <v>213750</v>
      </c>
      <c r="F58" s="53">
        <v>270750</v>
      </c>
      <c r="G58" s="53">
        <v>-57000</v>
      </c>
    </row>
    <row r="59" spans="1:7">
      <c r="A59">
        <f>IFERROR(IF(B59="",0,IF(VALUE(LEFT(B59,1))&gt;3,VLOOKUP(VALUE(B59),PROYECCIONES!B:D,3,FALSE),0)),1 + COUNTIF($A$2:A58,"&gt;0"))</f>
        <v>0</v>
      </c>
      <c r="B59" s="52" t="s">
        <v>381</v>
      </c>
      <c r="C59" s="52" t="s">
        <v>382</v>
      </c>
      <c r="D59" s="53">
        <v>0</v>
      </c>
      <c r="E59" s="53">
        <v>235940.01</v>
      </c>
      <c r="F59" s="53">
        <v>299253.75</v>
      </c>
      <c r="G59" s="53">
        <v>-63313.74</v>
      </c>
    </row>
    <row r="60" spans="1:7">
      <c r="A60">
        <f>IFERROR(IF(B60="",0,IF(VALUE(LEFT(B60,1))&gt;3,VLOOKUP(VALUE(B60),PROYECCIONES!B:D,3,FALSE),0)),1 + COUNTIF($A$2:A59,"&gt;0"))</f>
        <v>0</v>
      </c>
      <c r="B60" s="52" t="s">
        <v>298</v>
      </c>
      <c r="C60" s="52" t="s">
        <v>251</v>
      </c>
      <c r="D60" s="53">
        <v>-53457.23</v>
      </c>
      <c r="E60" s="53">
        <v>43670.51</v>
      </c>
      <c r="F60" s="53">
        <v>91954.71</v>
      </c>
      <c r="G60" s="53">
        <v>-101741.43</v>
      </c>
    </row>
    <row r="61" spans="1:7">
      <c r="A61">
        <f>IFERROR(IF(B61="",0,IF(VALUE(LEFT(B61,1))&gt;3,VLOOKUP(VALUE(B61),PROYECCIONES!B:D,3,FALSE),0)),1 + COUNTIF($A$2:A60,"&gt;0"))</f>
        <v>0</v>
      </c>
      <c r="B61" s="52" t="s">
        <v>383</v>
      </c>
      <c r="C61" s="52" t="s">
        <v>375</v>
      </c>
      <c r="D61" s="53">
        <v>0</v>
      </c>
      <c r="E61" s="53">
        <v>10337.799999999999</v>
      </c>
      <c r="F61" s="53">
        <v>10337.799999999999</v>
      </c>
      <c r="G61" s="53">
        <v>0</v>
      </c>
    </row>
    <row r="62" spans="1:7">
      <c r="A62">
        <f>IFERROR(IF(B62="",0,IF(VALUE(LEFT(B62,1))&gt;3,VLOOKUP(VALUE(B62),PROYECCIONES!B:D,3,FALSE),0)),1 + COUNTIF($A$2:A61,"&gt;0"))</f>
        <v>0</v>
      </c>
      <c r="B62" s="52" t="s">
        <v>364</v>
      </c>
      <c r="C62" s="52" t="s">
        <v>365</v>
      </c>
      <c r="D62" s="53">
        <v>-3828</v>
      </c>
      <c r="E62" s="53">
        <v>0</v>
      </c>
      <c r="F62" s="53">
        <v>0</v>
      </c>
      <c r="G62" s="53">
        <v>-3828</v>
      </c>
    </row>
    <row r="63" spans="1:7">
      <c r="A63">
        <f>IFERROR(IF(B63="",0,IF(VALUE(LEFT(B63,1))&gt;3,VLOOKUP(VALUE(B63),PROYECCIONES!B:D,3,FALSE),0)),1 + COUNTIF($A$2:A62,"&gt;0"))</f>
        <v>0</v>
      </c>
      <c r="B63" s="52" t="s">
        <v>464</v>
      </c>
      <c r="C63" s="52" t="s">
        <v>465</v>
      </c>
      <c r="D63" s="53">
        <v>0</v>
      </c>
      <c r="E63" s="53">
        <v>11040</v>
      </c>
      <c r="F63" s="53">
        <v>15957.65</v>
      </c>
      <c r="G63" s="53">
        <v>-4917.6499999999896</v>
      </c>
    </row>
    <row r="64" spans="1:7">
      <c r="A64">
        <f>IFERROR(IF(B64="",0,IF(VALUE(LEFT(B64,1))&gt;3,VLOOKUP(VALUE(B64),PROYECCIONES!B:D,3,FALSE),0)),1 + COUNTIF($A$2:A63,"&gt;0"))</f>
        <v>0</v>
      </c>
      <c r="B64" s="52" t="s">
        <v>299</v>
      </c>
      <c r="C64" s="52" t="s">
        <v>252</v>
      </c>
      <c r="D64" s="53">
        <v>-803998</v>
      </c>
      <c r="E64" s="53">
        <v>1700500</v>
      </c>
      <c r="F64" s="53">
        <v>2287801</v>
      </c>
      <c r="G64" s="53">
        <v>-1391299</v>
      </c>
    </row>
    <row r="65" spans="1:7">
      <c r="A65">
        <f>IFERROR(IF(B65="",0,IF(VALUE(LEFT(B65,1))&gt;3,VLOOKUP(VALUE(B65),PROYECCIONES!B:D,3,FALSE),0)),1 + COUNTIF($A$2:A64,"&gt;0"))</f>
        <v>0</v>
      </c>
      <c r="B65" s="52" t="s">
        <v>300</v>
      </c>
      <c r="C65" s="52" t="s">
        <v>253</v>
      </c>
      <c r="D65" s="53">
        <v>-72817</v>
      </c>
      <c r="E65" s="53">
        <v>178600</v>
      </c>
      <c r="F65" s="53">
        <v>315002</v>
      </c>
      <c r="G65" s="53">
        <v>-209219</v>
      </c>
    </row>
    <row r="66" spans="1:7">
      <c r="A66">
        <f>IFERROR(IF(B66="",0,IF(VALUE(LEFT(B66,1))&gt;3,VLOOKUP(VALUE(B66),PROYECCIONES!B:D,3,FALSE),0)),1 + COUNTIF($A$2:A65,"&gt;0"))</f>
        <v>0</v>
      </c>
      <c r="B66" s="52" t="s">
        <v>301</v>
      </c>
      <c r="C66" s="52" t="s">
        <v>254</v>
      </c>
      <c r="D66" s="53">
        <v>-557999</v>
      </c>
      <c r="E66" s="53">
        <v>1700500</v>
      </c>
      <c r="F66" s="53">
        <v>2413800</v>
      </c>
      <c r="G66" s="53">
        <v>-1271299</v>
      </c>
    </row>
    <row r="67" spans="1:7">
      <c r="A67">
        <f>IFERROR(IF(B67="",0,IF(VALUE(LEFT(B67,1))&gt;3,VLOOKUP(VALUE(B67),PROYECCIONES!B:D,3,FALSE),0)),1 + COUNTIF($A$2:A66,"&gt;0"))</f>
        <v>0</v>
      </c>
      <c r="B67" s="52" t="s">
        <v>302</v>
      </c>
      <c r="C67" s="52" t="s">
        <v>255</v>
      </c>
      <c r="D67" s="53">
        <v>-5483064</v>
      </c>
      <c r="E67" s="53">
        <v>7242900</v>
      </c>
      <c r="F67" s="53">
        <v>9743201</v>
      </c>
      <c r="G67" s="53">
        <v>-7983365</v>
      </c>
    </row>
    <row r="68" spans="1:7">
      <c r="A68">
        <f>IFERROR(IF(B68="",0,IF(VALUE(LEFT(B68,1))&gt;3,VLOOKUP(VALUE(B68),PROYECCIONES!B:D,3,FALSE),0)),1 + COUNTIF($A$2:A67,"&gt;0"))</f>
        <v>0</v>
      </c>
      <c r="B68" s="52" t="s">
        <v>440</v>
      </c>
      <c r="C68" s="52" t="s">
        <v>441</v>
      </c>
      <c r="D68" s="53">
        <v>-28977138</v>
      </c>
      <c r="E68" s="53">
        <v>28977138</v>
      </c>
      <c r="F68" s="53">
        <v>0</v>
      </c>
      <c r="G68" s="53">
        <v>0</v>
      </c>
    </row>
    <row r="69" spans="1:7">
      <c r="A69">
        <f>IFERROR(IF(B69="",0,IF(VALUE(LEFT(B69,1))&gt;3,VLOOKUP(VALUE(B69),PROYECCIONES!B:D,3,FALSE),0)),1 + COUNTIF($A$2:A68,"&gt;0"))</f>
        <v>0</v>
      </c>
      <c r="B69" s="52" t="s">
        <v>303</v>
      </c>
      <c r="C69" s="52" t="s">
        <v>256</v>
      </c>
      <c r="D69" s="53">
        <v>-3.5762786865234401E-7</v>
      </c>
      <c r="E69" s="53">
        <v>44921114.039999999</v>
      </c>
      <c r="F69" s="53">
        <v>44921114.039999999</v>
      </c>
      <c r="G69" s="53">
        <v>-3.5762786865234401E-7</v>
      </c>
    </row>
    <row r="70" spans="1:7">
      <c r="A70">
        <f>IFERROR(IF(B70="",0,IF(VALUE(LEFT(B70,1))&gt;3,VLOOKUP(VALUE(B70),PROYECCIONES!B:D,3,FALSE),0)),1 + COUNTIF($A$2:A69,"&gt;0"))</f>
        <v>0</v>
      </c>
      <c r="B70" s="52" t="s">
        <v>304</v>
      </c>
      <c r="C70" s="52" t="s">
        <v>257</v>
      </c>
      <c r="D70" s="53">
        <v>5.5879354476928703E-9</v>
      </c>
      <c r="E70" s="53">
        <v>2058340.24</v>
      </c>
      <c r="F70" s="53">
        <v>2058340.24</v>
      </c>
      <c r="G70" s="53">
        <v>3.7252902984619099E-9</v>
      </c>
    </row>
    <row r="71" spans="1:7">
      <c r="A71">
        <f>IFERROR(IF(B71="",0,IF(VALUE(LEFT(B71,1))&gt;3,VLOOKUP(VALUE(B71),PROYECCIONES!B:D,3,FALSE),0)),1 + COUNTIF($A$2:A70,"&gt;0"))</f>
        <v>0</v>
      </c>
      <c r="B71" s="52" t="s">
        <v>305</v>
      </c>
      <c r="C71" s="52" t="s">
        <v>258</v>
      </c>
      <c r="D71" s="53">
        <v>7.4505805969238298E-9</v>
      </c>
      <c r="E71" s="53">
        <v>4005287.99</v>
      </c>
      <c r="F71" s="53">
        <v>4005287.99</v>
      </c>
      <c r="G71" s="53">
        <v>3.7252902984619099E-9</v>
      </c>
    </row>
    <row r="72" spans="1:7">
      <c r="A72">
        <f>IFERROR(IF(B72="",0,IF(VALUE(LEFT(B72,1))&gt;3,VLOOKUP(VALUE(B72),PROYECCIONES!B:D,3,FALSE),0)),1 + COUNTIF($A$2:A71,"&gt;0"))</f>
        <v>0</v>
      </c>
      <c r="B72" s="52" t="s">
        <v>384</v>
      </c>
      <c r="C72" s="52" t="s">
        <v>385</v>
      </c>
      <c r="D72" s="53">
        <v>0</v>
      </c>
      <c r="E72" s="53">
        <v>299253.75</v>
      </c>
      <c r="F72" s="53">
        <v>299253.75</v>
      </c>
      <c r="G72" s="53">
        <v>0</v>
      </c>
    </row>
    <row r="73" spans="1:7">
      <c r="A73">
        <f>IFERROR(IF(B73="",0,IF(VALUE(LEFT(B73,1))&gt;3,VLOOKUP(VALUE(B73),PROYECCIONES!B:D,3,FALSE),0)),1 + COUNTIF($A$2:A72,"&gt;0"))</f>
        <v>0</v>
      </c>
      <c r="B73" s="52" t="s">
        <v>475</v>
      </c>
      <c r="C73" s="52" t="s">
        <v>476</v>
      </c>
      <c r="D73" s="53">
        <v>-35410863.340000004</v>
      </c>
      <c r="E73" s="53">
        <v>35410863.340000004</v>
      </c>
      <c r="F73" s="53">
        <v>37230845.060000002</v>
      </c>
      <c r="G73" s="53">
        <v>-37230845.060000002</v>
      </c>
    </row>
    <row r="74" spans="1:7">
      <c r="A74">
        <f>IFERROR(IF(B74="",0,IF(VALUE(LEFT(B74,1))&gt;3,VLOOKUP(VALUE(B74),PROYECCIONES!B:D,3,FALSE),0)),1 + COUNTIF($A$2:A73,"&gt;0"))</f>
        <v>0</v>
      </c>
      <c r="B74" s="52" t="s">
        <v>306</v>
      </c>
      <c r="C74" s="52" t="s">
        <v>89</v>
      </c>
      <c r="D74" s="53">
        <v>-1786000</v>
      </c>
      <c r="E74" s="53">
        <v>75132926</v>
      </c>
      <c r="F74" s="53">
        <v>76817070</v>
      </c>
      <c r="G74" s="53">
        <v>-3470144</v>
      </c>
    </row>
    <row r="75" spans="1:7">
      <c r="A75">
        <f>IFERROR(IF(B75="",0,IF(VALUE(LEFT(B75,1))&gt;3,VLOOKUP(VALUE(B75),PROYECCIONES!B:D,3,FALSE),0)),1 + COUNTIF($A$2:A74,"&gt;0"))</f>
        <v>0</v>
      </c>
      <c r="B75" s="52" t="s">
        <v>307</v>
      </c>
      <c r="C75" s="52" t="s">
        <v>259</v>
      </c>
      <c r="D75" s="53">
        <v>-14595603</v>
      </c>
      <c r="E75" s="53">
        <v>14595603</v>
      </c>
      <c r="F75" s="53">
        <v>0</v>
      </c>
      <c r="G75" s="53">
        <v>0</v>
      </c>
    </row>
    <row r="76" spans="1:7">
      <c r="A76">
        <f>IFERROR(IF(B76="",0,IF(VALUE(LEFT(B76,1))&gt;3,VLOOKUP(VALUE(B76),PROYECCIONES!B:D,3,FALSE),0)),1 + COUNTIF($A$2:A75,"&gt;0"))</f>
        <v>0</v>
      </c>
      <c r="B76" s="52" t="s">
        <v>308</v>
      </c>
      <c r="C76" s="52" t="s">
        <v>260</v>
      </c>
      <c r="D76" s="53">
        <v>-1568734</v>
      </c>
      <c r="E76" s="53">
        <v>1568734</v>
      </c>
      <c r="F76" s="53">
        <v>0</v>
      </c>
      <c r="G76" s="53">
        <v>0</v>
      </c>
    </row>
    <row r="77" spans="1:7">
      <c r="A77">
        <f>IFERROR(IF(B77="",0,IF(VALUE(LEFT(B77,1))&gt;3,VLOOKUP(VALUE(B77),PROYECCIONES!B:D,3,FALSE),0)),1 + COUNTIF($A$2:A76,"&gt;0"))</f>
        <v>0</v>
      </c>
      <c r="B77" s="52" t="s">
        <v>446</v>
      </c>
      <c r="C77" s="52" t="s">
        <v>447</v>
      </c>
      <c r="D77" s="53">
        <v>0</v>
      </c>
      <c r="E77" s="53">
        <v>0</v>
      </c>
      <c r="F77" s="53">
        <v>5210760</v>
      </c>
      <c r="G77" s="53">
        <v>-5210760</v>
      </c>
    </row>
    <row r="78" spans="1:7">
      <c r="A78">
        <f>IFERROR(IF(B78="",0,IF(VALUE(LEFT(B78,1))&gt;3,VLOOKUP(VALUE(B78),PROYECCIONES!B:D,3,FALSE),0)),1 + COUNTIF($A$2:A77,"&gt;0"))</f>
        <v>0</v>
      </c>
      <c r="B78" s="52" t="s">
        <v>448</v>
      </c>
      <c r="C78" s="52" t="s">
        <v>449</v>
      </c>
      <c r="D78" s="53">
        <v>0</v>
      </c>
      <c r="E78" s="53">
        <v>0</v>
      </c>
      <c r="F78" s="53">
        <v>625296</v>
      </c>
      <c r="G78" s="53">
        <v>-625296</v>
      </c>
    </row>
    <row r="79" spans="1:7">
      <c r="A79">
        <f>IFERROR(IF(B79="",0,IF(VALUE(LEFT(B79,1))&gt;3,VLOOKUP(VALUE(B79),PROYECCIONES!B:D,3,FALSE),0)),1 + COUNTIF($A$2:A78,"&gt;0"))</f>
        <v>0</v>
      </c>
      <c r="B79" s="52" t="s">
        <v>450</v>
      </c>
      <c r="C79" s="52" t="s">
        <v>451</v>
      </c>
      <c r="D79" s="53">
        <v>0</v>
      </c>
      <c r="E79" s="53">
        <v>0</v>
      </c>
      <c r="F79" s="53">
        <v>2517506</v>
      </c>
      <c r="G79" s="53">
        <v>-2517506</v>
      </c>
    </row>
    <row r="80" spans="1:7">
      <c r="A80">
        <f>IFERROR(IF(B80="",0,IF(VALUE(LEFT(B80,1))&gt;3,VLOOKUP(VALUE(B80),PROYECCIONES!B:D,3,FALSE),0)),1 + COUNTIF($A$2:A79,"&gt;0"))</f>
        <v>0</v>
      </c>
      <c r="B80" s="52" t="s">
        <v>452</v>
      </c>
      <c r="C80" s="52" t="s">
        <v>453</v>
      </c>
      <c r="D80" s="53">
        <v>0</v>
      </c>
      <c r="E80" s="53">
        <v>0</v>
      </c>
      <c r="F80" s="53">
        <v>5210760</v>
      </c>
      <c r="G80" s="53">
        <v>-5210760</v>
      </c>
    </row>
    <row r="81" spans="1:7">
      <c r="A81">
        <f>IFERROR(IF(B81="",0,IF(VALUE(LEFT(B81,1))&gt;3,VLOOKUP(VALUE(B81),PROYECCIONES!B:D,3,FALSE),0)),1 + COUNTIF($A$2:A80,"&gt;0"))</f>
        <v>0</v>
      </c>
      <c r="B81" s="52" t="s">
        <v>593</v>
      </c>
      <c r="C81" s="52" t="s">
        <v>594</v>
      </c>
      <c r="D81" s="53">
        <v>0</v>
      </c>
      <c r="E81" s="53">
        <v>26977138</v>
      </c>
      <c r="F81" s="53">
        <v>26977138</v>
      </c>
      <c r="G81" s="53">
        <v>0</v>
      </c>
    </row>
    <row r="82" spans="1:7">
      <c r="A82">
        <f>IFERROR(IF(B82="",0,IF(VALUE(LEFT(B82,1))&gt;3,VLOOKUP(VALUE(B82),PROYECCIONES!B:D,3,FALSE),0)),1 + COUNTIF($A$2:A81,"&gt;0"))</f>
        <v>0</v>
      </c>
      <c r="B82" s="52" t="s">
        <v>477</v>
      </c>
      <c r="C82" s="52" t="s">
        <v>478</v>
      </c>
      <c r="D82" s="53">
        <v>-3778917.1</v>
      </c>
      <c r="E82" s="53">
        <v>0</v>
      </c>
      <c r="F82" s="53">
        <v>0</v>
      </c>
      <c r="G82" s="53">
        <v>-3778917.1</v>
      </c>
    </row>
    <row r="83" spans="1:7">
      <c r="A83">
        <f>IFERROR(IF(B83="",0,IF(VALUE(LEFT(B83,1))&gt;3,VLOOKUP(VALUE(B83),PROYECCIONES!B:D,3,FALSE),0)),1 + COUNTIF($A$2:A82,"&gt;0"))</f>
        <v>0</v>
      </c>
      <c r="B83" s="52" t="s">
        <v>479</v>
      </c>
      <c r="C83" s="52" t="s">
        <v>480</v>
      </c>
      <c r="D83" s="53">
        <v>-180390</v>
      </c>
      <c r="E83" s="53">
        <v>180390</v>
      </c>
      <c r="F83" s="53">
        <v>0</v>
      </c>
      <c r="G83" s="53">
        <v>0</v>
      </c>
    </row>
    <row r="84" spans="1:7">
      <c r="A84">
        <f>IFERROR(IF(B84="",0,IF(VALUE(LEFT(B84,1))&gt;3,VLOOKUP(VALUE(B84),PROYECCIONES!B:D,3,FALSE),0)),1 + COUNTIF($A$2:A83,"&gt;0"))</f>
        <v>0</v>
      </c>
      <c r="B84" s="52" t="s">
        <v>309</v>
      </c>
      <c r="C84" s="52" t="s">
        <v>261</v>
      </c>
      <c r="D84" s="53">
        <v>-100000000</v>
      </c>
      <c r="E84" s="53">
        <v>0</v>
      </c>
      <c r="F84" s="53">
        <v>0</v>
      </c>
      <c r="G84" s="53">
        <v>-100000000</v>
      </c>
    </row>
    <row r="85" spans="1:7">
      <c r="A85">
        <f>IFERROR(IF(B85="",0,IF(VALUE(LEFT(B85,1))&gt;3,VLOOKUP(VALUE(B85),PROYECCIONES!B:D,3,FALSE),0)),1 + COUNTIF($A$2:A84,"&gt;0"))</f>
        <v>0</v>
      </c>
      <c r="B85" s="52" t="s">
        <v>310</v>
      </c>
      <c r="C85" s="52" t="s">
        <v>262</v>
      </c>
      <c r="D85" s="53">
        <v>69000000</v>
      </c>
      <c r="E85" s="53">
        <v>0</v>
      </c>
      <c r="F85" s="53">
        <v>0</v>
      </c>
      <c r="G85" s="53">
        <v>69000000</v>
      </c>
    </row>
    <row r="86" spans="1:7">
      <c r="A86">
        <f>IFERROR(IF(B86="",0,IF(VALUE(LEFT(B86,1))&gt;3,VLOOKUP(VALUE(B86),PROYECCIONES!B:D,3,FALSE),0)),1 + COUNTIF($A$2:A85,"&gt;0"))</f>
        <v>0</v>
      </c>
      <c r="B86" s="52" t="s">
        <v>481</v>
      </c>
      <c r="C86" s="52" t="s">
        <v>482</v>
      </c>
      <c r="D86" s="53">
        <v>-41626840.030000001</v>
      </c>
      <c r="E86" s="53">
        <v>41626840.030000001</v>
      </c>
      <c r="F86" s="53">
        <v>0</v>
      </c>
      <c r="G86" s="53">
        <v>0</v>
      </c>
    </row>
    <row r="87" spans="1:7">
      <c r="A87">
        <f>IFERROR(IF(B87="",0,IF(VALUE(LEFT(B87,1))&gt;3,VLOOKUP(VALUE(B87),PROYECCIONES!B:D,3,FALSE),0)),1 + COUNTIF($A$2:A86,"&gt;0"))</f>
        <v>0</v>
      </c>
      <c r="B87" s="52" t="s">
        <v>521</v>
      </c>
      <c r="C87" s="52" t="s">
        <v>522</v>
      </c>
      <c r="D87" s="53">
        <v>0</v>
      </c>
      <c r="E87" s="53">
        <v>0</v>
      </c>
      <c r="F87" s="53">
        <v>121913000</v>
      </c>
      <c r="G87" s="53">
        <v>-121913000</v>
      </c>
    </row>
    <row r="88" spans="1:7">
      <c r="A88">
        <f>IFERROR(IF(B88="",0,IF(VALUE(LEFT(B88,1))&gt;3,VLOOKUP(VALUE(B88),PROYECCIONES!B:D,3,FALSE),0)),1 + COUNTIF($A$2:A87,"&gt;0"))</f>
        <v>0</v>
      </c>
      <c r="B88" s="52" t="s">
        <v>523</v>
      </c>
      <c r="C88" s="52" t="s">
        <v>524</v>
      </c>
      <c r="D88" s="53">
        <v>0</v>
      </c>
      <c r="E88" s="53">
        <v>0</v>
      </c>
      <c r="F88" s="53">
        <v>9320635</v>
      </c>
      <c r="G88" s="53">
        <v>-9320635</v>
      </c>
    </row>
    <row r="89" spans="1:7">
      <c r="A89">
        <f>IFERROR(IF(B89="",0,IF(VALUE(LEFT(B89,1))&gt;3,VLOOKUP(VALUE(B89),PROYECCIONES!B:D,3,FALSE),0)),1 + COUNTIF($A$2:A88,"&gt;0"))</f>
        <v>0</v>
      </c>
      <c r="B89" s="52" t="s">
        <v>525</v>
      </c>
      <c r="C89" s="52" t="s">
        <v>526</v>
      </c>
      <c r="D89" s="53">
        <v>0</v>
      </c>
      <c r="E89" s="53">
        <v>0</v>
      </c>
      <c r="F89" s="53">
        <v>106347119</v>
      </c>
      <c r="G89" s="53">
        <v>-106347119</v>
      </c>
    </row>
    <row r="90" spans="1:7">
      <c r="A90">
        <f>IFERROR(IF(B90="",0,IF(VALUE(LEFT(B90,1))&gt;3,VLOOKUP(VALUE(B90),PROYECCIONES!B:D,3,FALSE),0)),1 + COUNTIF($A$2:A89,"&gt;0"))</f>
        <v>0</v>
      </c>
      <c r="B90" s="52" t="s">
        <v>527</v>
      </c>
      <c r="C90" s="52" t="s">
        <v>528</v>
      </c>
      <c r="D90" s="53">
        <v>0</v>
      </c>
      <c r="E90" s="53">
        <v>0</v>
      </c>
      <c r="F90" s="53">
        <v>41185457</v>
      </c>
      <c r="G90" s="53">
        <v>-41185457</v>
      </c>
    </row>
    <row r="91" spans="1:7">
      <c r="A91">
        <f>IFERROR(IF(B91="",0,IF(VALUE(LEFT(B91,1))&gt;3,VLOOKUP(VALUE(B91),PROYECCIONES!B:D,3,FALSE),0)),1 + COUNTIF($A$2:A90,"&gt;0"))</f>
        <v>0</v>
      </c>
      <c r="B91" s="52" t="s">
        <v>529</v>
      </c>
      <c r="C91" s="52" t="s">
        <v>530</v>
      </c>
      <c r="D91" s="53">
        <v>0</v>
      </c>
      <c r="E91" s="53">
        <v>0</v>
      </c>
      <c r="F91" s="53">
        <v>46049185</v>
      </c>
      <c r="G91" s="53">
        <v>-46049185</v>
      </c>
    </row>
    <row r="92" spans="1:7">
      <c r="A92">
        <f>IFERROR(IF(B92="",0,IF(VALUE(LEFT(B92,1))&gt;3,VLOOKUP(VALUE(B92),PROYECCIONES!B:D,3,FALSE),0)),1 + COUNTIF($A$2:A91,"&gt;0"))</f>
        <v>0</v>
      </c>
      <c r="B92" s="52" t="s">
        <v>531</v>
      </c>
      <c r="C92" s="52" t="s">
        <v>532</v>
      </c>
      <c r="D92" s="53">
        <v>0</v>
      </c>
      <c r="E92" s="53">
        <v>0</v>
      </c>
      <c r="F92" s="53">
        <v>41626840.030000001</v>
      </c>
      <c r="G92" s="53">
        <v>-41626840.030000001</v>
      </c>
    </row>
    <row r="93" spans="1:7">
      <c r="A93">
        <f>IFERROR(IF(B93="",0,IF(VALUE(LEFT(B93,1))&gt;3,VLOOKUP(VALUE(B93),PROYECCIONES!B:D,3,FALSE),0)),1 + COUNTIF($A$2:A92,"&gt;0"))</f>
        <v>0</v>
      </c>
      <c r="B93" s="52" t="s">
        <v>311</v>
      </c>
      <c r="C93" s="52" t="s">
        <v>263</v>
      </c>
      <c r="D93" s="53">
        <v>-324855397.33999997</v>
      </c>
      <c r="E93" s="53">
        <v>324855397.33999997</v>
      </c>
      <c r="F93" s="53">
        <v>0</v>
      </c>
      <c r="G93" s="53">
        <v>-5.9604644775390599E-8</v>
      </c>
    </row>
    <row r="94" spans="1:7">
      <c r="A94">
        <f>IFERROR(IF(B94="",0,IF(VALUE(LEFT(B94,1))&gt;3,VLOOKUP(VALUE(B94),PROYECCIONES!B:D,3,FALSE),0)),1 + COUNTIF($A$2:A93,"&gt;0"))</f>
        <v>0</v>
      </c>
      <c r="B94" s="52" t="s">
        <v>312</v>
      </c>
      <c r="C94" s="52" t="s">
        <v>119</v>
      </c>
      <c r="D94" s="53">
        <v>0</v>
      </c>
      <c r="E94" s="53">
        <v>0</v>
      </c>
      <c r="F94" s="53">
        <v>175925339</v>
      </c>
      <c r="G94" s="53">
        <v>-175925339</v>
      </c>
    </row>
    <row r="95" spans="1:7">
      <c r="A95">
        <f>IFERROR(IF(B95="",0,IF(VALUE(LEFT(B95,1))&gt;3,VLOOKUP(VALUE(B95),PROYECCIONES!B:D,3,FALSE),0)),1 + COUNTIF($A$2:A94,"&gt;0"))</f>
        <v>0</v>
      </c>
      <c r="B95" s="52" t="s">
        <v>386</v>
      </c>
      <c r="C95" s="52" t="s">
        <v>120</v>
      </c>
      <c r="D95" s="53">
        <v>0</v>
      </c>
      <c r="E95" s="53">
        <v>0</v>
      </c>
      <c r="F95" s="53">
        <v>52492577</v>
      </c>
      <c r="G95" s="53">
        <v>-52492577</v>
      </c>
    </row>
    <row r="96" spans="1:7">
      <c r="A96">
        <f>IFERROR(IF(B96="",0,IF(VALUE(LEFT(B96,1))&gt;3,VLOOKUP(VALUE(B96),PROYECCIONES!B:D,3,FALSE),0)),1 + COUNTIF($A$2:A95,"&gt;0"))</f>
        <v>0</v>
      </c>
      <c r="B96" s="52" t="s">
        <v>540</v>
      </c>
      <c r="C96" s="52" t="s">
        <v>191</v>
      </c>
      <c r="D96" s="53">
        <v>0</v>
      </c>
      <c r="E96" s="53">
        <v>0</v>
      </c>
      <c r="F96" s="53">
        <v>1009000</v>
      </c>
      <c r="G96" s="53">
        <v>-1009000</v>
      </c>
    </row>
    <row r="97" spans="1:7">
      <c r="A97">
        <f>IFERROR(IF(B97="",0,IF(VALUE(LEFT(B97,1))&gt;3,VLOOKUP(VALUE(B97),PROYECCIONES!B:D,3,FALSE),0)),1 + COUNTIF($A$2:A96,"&gt;0"))</f>
        <v>0</v>
      </c>
      <c r="B97" s="52" t="s">
        <v>541</v>
      </c>
      <c r="C97" s="52" t="s">
        <v>200</v>
      </c>
      <c r="D97" s="53">
        <v>0</v>
      </c>
      <c r="E97" s="53">
        <v>0</v>
      </c>
      <c r="F97" s="53">
        <v>7000000</v>
      </c>
      <c r="G97" s="53">
        <v>-7000000</v>
      </c>
    </row>
    <row r="98" spans="1:7">
      <c r="A98">
        <f>IFERROR(IF(B98="",0,IF(VALUE(LEFT(B98,1))&gt;3,VLOOKUP(VALUE(B98),PROYECCIONES!B:D,3,FALSE),0)),1 + COUNTIF($A$2:A97,"&gt;0"))</f>
        <v>0</v>
      </c>
      <c r="B98" s="52" t="s">
        <v>313</v>
      </c>
      <c r="C98" s="52" t="s">
        <v>122</v>
      </c>
      <c r="D98" s="53">
        <v>2.91038304567337E-11</v>
      </c>
      <c r="E98" s="53">
        <v>0</v>
      </c>
      <c r="F98" s="53">
        <v>6528.07</v>
      </c>
      <c r="G98" s="53">
        <v>-6528.0699999999797</v>
      </c>
    </row>
    <row r="99" spans="1:7">
      <c r="A99">
        <f>IFERROR(IF(B99="",0,IF(VALUE(LEFT(B99,1))&gt;3,VLOOKUP(VALUE(B99),PROYECCIONES!B:D,3,FALSE),0)),1 + COUNTIF($A$2:A98,"&gt;0"))</f>
        <v>0</v>
      </c>
      <c r="B99" s="52" t="s">
        <v>598</v>
      </c>
      <c r="C99" s="52" t="s">
        <v>599</v>
      </c>
      <c r="D99" s="53">
        <v>0</v>
      </c>
      <c r="E99" s="53">
        <v>0</v>
      </c>
      <c r="F99" s="53">
        <v>1645138.5</v>
      </c>
      <c r="G99" s="53">
        <v>-1645138.5</v>
      </c>
    </row>
    <row r="100" spans="1:7">
      <c r="A100">
        <f>IFERROR(IF(B100="",0,IF(VALUE(LEFT(B100,1))&gt;3,VLOOKUP(VALUE(B100),PROYECCIONES!B:D,3,FALSE),0)),1 + COUNTIF($A$2:A99,"&gt;0"))</f>
        <v>0</v>
      </c>
      <c r="B100" s="52" t="s">
        <v>542</v>
      </c>
      <c r="C100" s="52" t="s">
        <v>543</v>
      </c>
      <c r="D100" s="53">
        <v>0</v>
      </c>
      <c r="E100" s="53">
        <v>0</v>
      </c>
      <c r="F100" s="53">
        <v>146250</v>
      </c>
      <c r="G100" s="53">
        <v>-146250</v>
      </c>
    </row>
    <row r="101" spans="1:7">
      <c r="A101">
        <f>IFERROR(IF(B101="",0,IF(VALUE(LEFT(B101,1))&gt;3,VLOOKUP(VALUE(B101),PROYECCIONES!B:D,3,FALSE),0)),1 + COUNTIF($A$2:A100,"&gt;0"))</f>
        <v>0</v>
      </c>
      <c r="B101" s="52" t="s">
        <v>314</v>
      </c>
      <c r="C101" s="52" t="s">
        <v>99</v>
      </c>
      <c r="D101" s="53">
        <v>0</v>
      </c>
      <c r="E101" s="53">
        <v>0</v>
      </c>
      <c r="F101" s="53">
        <v>10.8700000000008</v>
      </c>
      <c r="G101" s="53">
        <v>-10.869999999995301</v>
      </c>
    </row>
    <row r="102" spans="1:7">
      <c r="A102">
        <f>IFERROR(IF(B102="",0,IF(VALUE(LEFT(B102,1))&gt;3,VLOOKUP(VALUE(B102),PROYECCIONES!B:D,3,FALSE),0)),1 + COUNTIF($A$2:A101,"&gt;0"))</f>
        <v>0</v>
      </c>
      <c r="B102" s="52" t="s">
        <v>315</v>
      </c>
      <c r="C102" s="52" t="s">
        <v>100</v>
      </c>
      <c r="D102" s="53">
        <v>0</v>
      </c>
      <c r="E102" s="53">
        <v>23326667</v>
      </c>
      <c r="F102" s="53">
        <v>0</v>
      </c>
      <c r="G102" s="53">
        <v>23326667</v>
      </c>
    </row>
    <row r="103" spans="1:7">
      <c r="A103">
        <f>IFERROR(IF(B103="",0,IF(VALUE(LEFT(B103,1))&gt;3,VLOOKUP(VALUE(B103),PROYECCIONES!B:D,3,FALSE),0)),1 + COUNTIF($A$2:A102,"&gt;0"))</f>
        <v>0</v>
      </c>
      <c r="B103" s="52" t="s">
        <v>316</v>
      </c>
      <c r="C103" s="52" t="s">
        <v>101</v>
      </c>
      <c r="D103" s="53">
        <v>0</v>
      </c>
      <c r="E103" s="53">
        <v>727578</v>
      </c>
      <c r="F103" s="53">
        <v>0</v>
      </c>
      <c r="G103" s="53">
        <v>727578</v>
      </c>
    </row>
    <row r="104" spans="1:7">
      <c r="A104">
        <f>IFERROR(IF(B104="",0,IF(VALUE(LEFT(B104,1))&gt;3,VLOOKUP(VALUE(B104),PROYECCIONES!B:D,3,FALSE),0)),1 + COUNTIF($A$2:A103,"&gt;0"))</f>
        <v>0</v>
      </c>
      <c r="B104" s="52" t="s">
        <v>317</v>
      </c>
      <c r="C104" s="52" t="s">
        <v>96</v>
      </c>
      <c r="D104" s="53">
        <v>0</v>
      </c>
      <c r="E104" s="53">
        <v>2091920</v>
      </c>
      <c r="F104" s="53">
        <v>0</v>
      </c>
      <c r="G104" s="53">
        <v>2091920</v>
      </c>
    </row>
    <row r="105" spans="1:7">
      <c r="A105">
        <f>IFERROR(IF(B105="",0,IF(VALUE(LEFT(B105,1))&gt;3,VLOOKUP(VALUE(B105),PROYECCIONES!B:D,3,FALSE),0)),1 + COUNTIF($A$2:A104,"&gt;0"))</f>
        <v>0</v>
      </c>
      <c r="B105" s="52" t="s">
        <v>318</v>
      </c>
      <c r="C105" s="52" t="s">
        <v>102</v>
      </c>
      <c r="D105" s="53">
        <v>0</v>
      </c>
      <c r="E105" s="53">
        <v>251032</v>
      </c>
      <c r="F105" s="53">
        <v>0</v>
      </c>
      <c r="G105" s="53">
        <v>251032</v>
      </c>
    </row>
    <row r="106" spans="1:7">
      <c r="A106">
        <f>IFERROR(IF(B106="",0,IF(VALUE(LEFT(B106,1))&gt;3,VLOOKUP(VALUE(B106),PROYECCIONES!B:D,3,FALSE),0)),1 + COUNTIF($A$2:A105,"&gt;0"))</f>
        <v>0</v>
      </c>
      <c r="B106" s="52" t="s">
        <v>319</v>
      </c>
      <c r="C106" s="52" t="s">
        <v>97</v>
      </c>
      <c r="D106" s="53">
        <v>0</v>
      </c>
      <c r="E106" s="53">
        <v>2091920</v>
      </c>
      <c r="F106" s="53">
        <v>0</v>
      </c>
      <c r="G106" s="53">
        <v>2091920</v>
      </c>
    </row>
    <row r="107" spans="1:7">
      <c r="A107">
        <f>IFERROR(IF(B107="",0,IF(VALUE(LEFT(B107,1))&gt;3,VLOOKUP(VALUE(B107),PROYECCIONES!B:D,3,FALSE),0)),1 + COUNTIF($A$2:A106,"&gt;0"))</f>
        <v>0</v>
      </c>
      <c r="B107" s="52" t="s">
        <v>320</v>
      </c>
      <c r="C107" s="52" t="s">
        <v>98</v>
      </c>
      <c r="D107" s="53">
        <v>0</v>
      </c>
      <c r="E107" s="53">
        <v>1016670</v>
      </c>
      <c r="F107" s="53">
        <v>0</v>
      </c>
      <c r="G107" s="53">
        <v>1016670</v>
      </c>
    </row>
    <row r="108" spans="1:7">
      <c r="A108">
        <f>IFERROR(IF(B108="",0,IF(VALUE(LEFT(B108,1))&gt;3,VLOOKUP(VALUE(B108),PROYECCIONES!B:D,3,FALSE),0)),1 + COUNTIF($A$2:A107,"&gt;0"))</f>
        <v>0</v>
      </c>
      <c r="B108" s="52" t="s">
        <v>484</v>
      </c>
      <c r="C108" s="52" t="s">
        <v>485</v>
      </c>
      <c r="D108" s="53">
        <v>0</v>
      </c>
      <c r="E108" s="53">
        <v>104040</v>
      </c>
      <c r="F108" s="53">
        <v>0</v>
      </c>
      <c r="G108" s="53">
        <v>104040</v>
      </c>
    </row>
    <row r="109" spans="1:7">
      <c r="A109">
        <f>IFERROR(IF(B109="",0,IF(VALUE(LEFT(B109,1))&gt;3,VLOOKUP(VALUE(B109),PROYECCIONES!B:D,3,FALSE),0)),1 + COUNTIF($A$2:A108,"&gt;0"))</f>
        <v>0</v>
      </c>
      <c r="B109" s="52" t="s">
        <v>387</v>
      </c>
      <c r="C109" s="52" t="s">
        <v>90</v>
      </c>
      <c r="D109" s="53">
        <v>0</v>
      </c>
      <c r="E109" s="53">
        <v>206960</v>
      </c>
      <c r="F109" s="53">
        <v>0</v>
      </c>
      <c r="G109" s="53">
        <v>206960</v>
      </c>
    </row>
    <row r="110" spans="1:7">
      <c r="A110">
        <f>IFERROR(IF(B110="",0,IF(VALUE(LEFT(B110,1))&gt;3,VLOOKUP(VALUE(B110),PROYECCIONES!B:D,3,FALSE),0)),1 + COUNTIF($A$2:A109,"&gt;0"))</f>
        <v>0</v>
      </c>
      <c r="B110" s="52" t="s">
        <v>321</v>
      </c>
      <c r="C110" s="52" t="s">
        <v>103</v>
      </c>
      <c r="D110" s="53">
        <v>0</v>
      </c>
      <c r="E110" s="53">
        <v>4699000</v>
      </c>
      <c r="F110" s="53">
        <v>0</v>
      </c>
      <c r="G110" s="53">
        <v>4699000</v>
      </c>
    </row>
    <row r="111" spans="1:7">
      <c r="A111">
        <f>IFERROR(IF(B111="",0,IF(VALUE(LEFT(B111,1))&gt;3,VLOOKUP(VALUE(B111),PROYECCIONES!B:D,3,FALSE),0)),1 + COUNTIF($A$2:A110,"&gt;0"))</f>
        <v>0</v>
      </c>
      <c r="B111" s="52" t="s">
        <v>322</v>
      </c>
      <c r="C111" s="52" t="s">
        <v>125</v>
      </c>
      <c r="D111" s="53">
        <v>0</v>
      </c>
      <c r="E111" s="53">
        <v>500168.13</v>
      </c>
      <c r="F111" s="53">
        <v>0</v>
      </c>
      <c r="G111" s="53">
        <v>500168.13000000099</v>
      </c>
    </row>
    <row r="112" spans="1:7">
      <c r="A112">
        <f>IFERROR(IF(B112="",0,IF(VALUE(LEFT(B112,1))&gt;3,VLOOKUP(VALUE(B112),PROYECCIONES!B:D,3,FALSE),0)),1 + COUNTIF($A$2:A111,"&gt;0"))</f>
        <v>0</v>
      </c>
      <c r="B112" s="52" t="s">
        <v>323</v>
      </c>
      <c r="C112" s="52" t="s">
        <v>126</v>
      </c>
      <c r="D112" s="53">
        <v>0</v>
      </c>
      <c r="E112" s="53">
        <v>500000</v>
      </c>
      <c r="F112" s="53">
        <v>0</v>
      </c>
      <c r="G112" s="53">
        <v>500000</v>
      </c>
    </row>
    <row r="113" spans="1:7">
      <c r="A113">
        <f>IFERROR(IF(B113="",0,IF(VALUE(LEFT(B113,1))&gt;3,VLOOKUP(VALUE(B113),PROYECCIONES!B:D,3,FALSE),0)),1 + COUNTIF($A$2:A112,"&gt;0"))</f>
        <v>0</v>
      </c>
      <c r="B113" s="52" t="s">
        <v>324</v>
      </c>
      <c r="C113" s="52" t="s">
        <v>127</v>
      </c>
      <c r="D113" s="53">
        <v>0</v>
      </c>
      <c r="E113" s="53">
        <v>127368</v>
      </c>
      <c r="F113" s="53">
        <v>0</v>
      </c>
      <c r="G113" s="53">
        <v>127368</v>
      </c>
    </row>
    <row r="114" spans="1:7">
      <c r="A114">
        <f>IFERROR(IF(B114="",0,IF(VALUE(LEFT(B114,1))&gt;3,VLOOKUP(VALUE(B114),PROYECCIONES!B:D,3,FALSE),0)),1 + COUNTIF($A$2:A113,"&gt;0"))</f>
        <v>0</v>
      </c>
      <c r="B114" s="52" t="s">
        <v>325</v>
      </c>
      <c r="C114" s="52" t="s">
        <v>128</v>
      </c>
      <c r="D114" s="53">
        <v>0</v>
      </c>
      <c r="E114" s="53">
        <v>2568000</v>
      </c>
      <c r="F114" s="53">
        <v>0</v>
      </c>
      <c r="G114" s="53">
        <v>2568000</v>
      </c>
    </row>
    <row r="115" spans="1:7">
      <c r="A115">
        <f>IFERROR(IF(B115="",0,IF(VALUE(LEFT(B115,1))&gt;3,VLOOKUP(VALUE(B115),PROYECCIONES!B:D,3,FALSE),0)),1 + COUNTIF($A$2:A114,"&gt;0"))</f>
        <v>0</v>
      </c>
      <c r="B115" s="52" t="s">
        <v>326</v>
      </c>
      <c r="C115" s="52" t="s">
        <v>129</v>
      </c>
      <c r="D115" s="53">
        <v>0</v>
      </c>
      <c r="E115" s="53">
        <v>976000</v>
      </c>
      <c r="F115" s="53">
        <v>0</v>
      </c>
      <c r="G115" s="53">
        <v>976000</v>
      </c>
    </row>
    <row r="116" spans="1:7">
      <c r="A116">
        <f>IFERROR(IF(B116="",0,IF(VALUE(LEFT(B116,1))&gt;3,VLOOKUP(VALUE(B116),PROYECCIONES!B:D,3,FALSE),0)),1 + COUNTIF($A$2:A115,"&gt;0"))</f>
        <v>0</v>
      </c>
      <c r="B116" s="52" t="s">
        <v>388</v>
      </c>
      <c r="C116" s="52" t="s">
        <v>130</v>
      </c>
      <c r="D116" s="53">
        <v>0</v>
      </c>
      <c r="E116" s="53">
        <v>1444716.81</v>
      </c>
      <c r="F116" s="53">
        <v>0</v>
      </c>
      <c r="G116" s="53">
        <v>1444716.81</v>
      </c>
    </row>
    <row r="117" spans="1:7">
      <c r="A117">
        <f>IFERROR(IF(B117="",0,IF(VALUE(LEFT(B117,1))&gt;3,VLOOKUP(VALUE(B117),PROYECCIONES!B:D,3,FALSE),0)),1 + COUNTIF($A$2:A116,"&gt;0"))</f>
        <v>0</v>
      </c>
      <c r="B117" s="52" t="s">
        <v>389</v>
      </c>
      <c r="C117" s="52" t="s">
        <v>131</v>
      </c>
      <c r="D117" s="53">
        <v>0</v>
      </c>
      <c r="E117" s="53">
        <v>9580000</v>
      </c>
      <c r="F117" s="53">
        <v>0</v>
      </c>
      <c r="G117" s="53">
        <v>9580000</v>
      </c>
    </row>
    <row r="118" spans="1:7">
      <c r="A118">
        <f>IFERROR(IF(B118="",0,IF(VALUE(LEFT(B118,1))&gt;3,VLOOKUP(VALUE(B118),PROYECCIONES!B:D,3,FALSE),0)),1 + COUNTIF($A$2:A117,"&gt;0"))</f>
        <v>0</v>
      </c>
      <c r="B118" s="52" t="s">
        <v>366</v>
      </c>
      <c r="C118" s="52" t="s">
        <v>132</v>
      </c>
      <c r="D118" s="53">
        <v>0</v>
      </c>
      <c r="E118" s="53">
        <v>1000000</v>
      </c>
      <c r="F118" s="53">
        <v>0</v>
      </c>
      <c r="G118" s="53">
        <v>1000000</v>
      </c>
    </row>
    <row r="119" spans="1:7">
      <c r="A119">
        <f>IFERROR(IF(B119="",0,IF(VALUE(LEFT(B119,1))&gt;3,VLOOKUP(VALUE(B119),PROYECCIONES!B:D,3,FALSE),0)),1 + COUNTIF($A$2:A118,"&gt;0"))</f>
        <v>0</v>
      </c>
      <c r="B119" s="52" t="s">
        <v>327</v>
      </c>
      <c r="C119" s="52" t="s">
        <v>133</v>
      </c>
      <c r="D119" s="53">
        <v>0</v>
      </c>
      <c r="E119" s="53">
        <v>600000</v>
      </c>
      <c r="F119" s="53">
        <v>0</v>
      </c>
      <c r="G119" s="53">
        <v>600000</v>
      </c>
    </row>
    <row r="120" spans="1:7">
      <c r="A120">
        <f>IFERROR(IF(B120="",0,IF(VALUE(LEFT(B120,1))&gt;3,VLOOKUP(VALUE(B120),PROYECCIONES!B:D,3,FALSE),0)),1 + COUNTIF($A$2:A119,"&gt;0"))</f>
        <v>0</v>
      </c>
      <c r="B120" s="52" t="s">
        <v>328</v>
      </c>
      <c r="C120" s="52" t="s">
        <v>110</v>
      </c>
      <c r="D120" s="53">
        <v>0</v>
      </c>
      <c r="E120" s="53">
        <v>1099714.83</v>
      </c>
      <c r="F120" s="53">
        <v>0</v>
      </c>
      <c r="G120" s="53">
        <v>1099714.83</v>
      </c>
    </row>
    <row r="121" spans="1:7">
      <c r="A121">
        <f>IFERROR(IF(B121="",0,IF(VALUE(LEFT(B121,1))&gt;3,VLOOKUP(VALUE(B121),PROYECCIONES!B:D,3,FALSE),0)),1 + COUNTIF($A$2:A120,"&gt;0"))</f>
        <v>0</v>
      </c>
      <c r="B121" s="52" t="s">
        <v>412</v>
      </c>
      <c r="C121" s="52" t="s">
        <v>198</v>
      </c>
      <c r="D121" s="53">
        <v>0</v>
      </c>
      <c r="E121" s="53">
        <v>43150.09</v>
      </c>
      <c r="F121" s="53">
        <v>0</v>
      </c>
      <c r="G121" s="53">
        <v>43150.09</v>
      </c>
    </row>
    <row r="122" spans="1:7">
      <c r="A122">
        <f>IFERROR(IF(B122="",0,IF(VALUE(LEFT(B122,1))&gt;3,VLOOKUP(VALUE(B122),PROYECCIONES!B:D,3,FALSE),0)),1 + COUNTIF($A$2:A121,"&gt;0"))</f>
        <v>0</v>
      </c>
      <c r="B122" s="52" t="s">
        <v>329</v>
      </c>
      <c r="C122" s="52" t="s">
        <v>135</v>
      </c>
      <c r="D122" s="53">
        <v>-4.65661287307739E-10</v>
      </c>
      <c r="E122" s="53">
        <v>125177.63</v>
      </c>
      <c r="F122" s="53">
        <v>0</v>
      </c>
      <c r="G122" s="53">
        <v>125177.629999999</v>
      </c>
    </row>
    <row r="123" spans="1:7">
      <c r="A123">
        <f>IFERROR(IF(B123="",0,IF(VALUE(LEFT(B123,1))&gt;3,VLOOKUP(VALUE(B123),PROYECCIONES!B:D,3,FALSE),0)),1 + COUNTIF($A$2:A122,"&gt;0"))</f>
        <v>0</v>
      </c>
      <c r="B123" s="52" t="s">
        <v>330</v>
      </c>
      <c r="C123" s="52" t="s">
        <v>136</v>
      </c>
      <c r="D123" s="53">
        <v>0</v>
      </c>
      <c r="E123" s="53">
        <v>5186089</v>
      </c>
      <c r="F123" s="53">
        <v>0</v>
      </c>
      <c r="G123" s="53">
        <v>5186089</v>
      </c>
    </row>
    <row r="124" spans="1:7">
      <c r="A124">
        <f>IFERROR(IF(B124="",0,IF(VALUE(LEFT(B124,1))&gt;3,VLOOKUP(VALUE(B124),PROYECCIONES!B:D,3,FALSE),0)),1 + COUNTIF($A$2:A123,"&gt;0"))</f>
        <v>0</v>
      </c>
      <c r="B124" s="52" t="s">
        <v>544</v>
      </c>
      <c r="C124" s="52" t="s">
        <v>420</v>
      </c>
      <c r="D124" s="53">
        <v>0</v>
      </c>
      <c r="E124" s="53">
        <v>388151</v>
      </c>
      <c r="F124" s="53">
        <v>0</v>
      </c>
      <c r="G124" s="53">
        <v>388151</v>
      </c>
    </row>
    <row r="125" spans="1:7">
      <c r="A125">
        <f>IFERROR(IF(B125="",0,IF(VALUE(LEFT(B125,1))&gt;3,VLOOKUP(VALUE(B125),PROYECCIONES!B:D,3,FALSE),0)),1 + COUNTIF($A$2:A124,"&gt;0"))</f>
        <v>0</v>
      </c>
      <c r="B125" s="52" t="s">
        <v>331</v>
      </c>
      <c r="C125" s="52" t="s">
        <v>137</v>
      </c>
      <c r="D125" s="53">
        <v>0</v>
      </c>
      <c r="E125" s="53">
        <v>2484398</v>
      </c>
      <c r="F125" s="53">
        <v>0</v>
      </c>
      <c r="G125" s="53">
        <v>2484398</v>
      </c>
    </row>
    <row r="126" spans="1:7">
      <c r="A126">
        <f>IFERROR(IF(B126="",0,IF(VALUE(LEFT(B126,1))&gt;3,VLOOKUP(VALUE(B126),PROYECCIONES!B:D,3,FALSE),0)),1 + COUNTIF($A$2:A125,"&gt;0"))</f>
        <v>0</v>
      </c>
      <c r="B126" s="52" t="s">
        <v>332</v>
      </c>
      <c r="C126" s="52" t="s">
        <v>139</v>
      </c>
      <c r="D126" s="53">
        <v>0</v>
      </c>
      <c r="E126" s="53">
        <v>781853.29</v>
      </c>
      <c r="F126" s="53">
        <v>0</v>
      </c>
      <c r="G126" s="53">
        <v>781853.29</v>
      </c>
    </row>
    <row r="127" spans="1:7">
      <c r="A127">
        <f>IFERROR(IF(B127="",0,IF(VALUE(LEFT(B127,1))&gt;3,VLOOKUP(VALUE(B127),PROYECCIONES!B:D,3,FALSE),0)),1 + COUNTIF($A$2:A126,"&gt;0"))</f>
        <v>0</v>
      </c>
      <c r="B127" s="52" t="s">
        <v>333</v>
      </c>
      <c r="C127" s="52" t="s">
        <v>140</v>
      </c>
      <c r="D127" s="53">
        <v>-2.3283064365386999E-10</v>
      </c>
      <c r="E127" s="53">
        <v>11716.92</v>
      </c>
      <c r="F127" s="53">
        <v>0</v>
      </c>
      <c r="G127" s="53">
        <v>11716.9199999998</v>
      </c>
    </row>
    <row r="128" spans="1:7">
      <c r="A128">
        <f>IFERROR(IF(B128="",0,IF(VALUE(LEFT(B128,1))&gt;3,VLOOKUP(VALUE(B128),PROYECCIONES!B:D,3,FALSE),0)),1 + COUNTIF($A$2:A127,"&gt;0"))</f>
        <v>0</v>
      </c>
      <c r="B128" s="52" t="s">
        <v>334</v>
      </c>
      <c r="C128" s="52" t="s">
        <v>141</v>
      </c>
      <c r="D128" s="53">
        <v>0</v>
      </c>
      <c r="E128" s="53">
        <v>4450000</v>
      </c>
      <c r="F128" s="53">
        <v>0</v>
      </c>
      <c r="G128" s="53">
        <v>4450000</v>
      </c>
    </row>
    <row r="129" spans="1:7">
      <c r="A129">
        <f>IFERROR(IF(B129="",0,IF(VALUE(LEFT(B129,1))&gt;3,VLOOKUP(VALUE(B129),PROYECCIONES!B:D,3,FALSE),0)),1 + COUNTIF($A$2:A128,"&gt;0"))</f>
        <v>0</v>
      </c>
      <c r="B129" s="52" t="s">
        <v>335</v>
      </c>
      <c r="C129" s="52" t="s">
        <v>143</v>
      </c>
      <c r="D129" s="53">
        <v>0</v>
      </c>
      <c r="E129" s="53">
        <v>163751</v>
      </c>
      <c r="F129" s="53">
        <v>0</v>
      </c>
      <c r="G129" s="53">
        <v>163751</v>
      </c>
    </row>
    <row r="130" spans="1:7">
      <c r="A130">
        <f>IFERROR(IF(B130="",0,IF(VALUE(LEFT(B130,1))&gt;3,VLOOKUP(VALUE(B130),PROYECCIONES!B:D,3,FALSE),0)),1 + COUNTIF($A$2:A129,"&gt;0"))</f>
        <v>0</v>
      </c>
      <c r="B130" s="52" t="s">
        <v>336</v>
      </c>
      <c r="C130" s="52" t="s">
        <v>144</v>
      </c>
      <c r="D130" s="53">
        <v>0</v>
      </c>
      <c r="E130" s="53">
        <v>823220.99</v>
      </c>
      <c r="F130" s="53">
        <v>0</v>
      </c>
      <c r="G130" s="53">
        <v>823220.99</v>
      </c>
    </row>
    <row r="131" spans="1:7">
      <c r="A131">
        <f>IFERROR(IF(B131="",0,IF(VALUE(LEFT(B131,1))&gt;3,VLOOKUP(VALUE(B131),PROYECCIONES!B:D,3,FALSE),0)),1 + COUNTIF($A$2:A130,"&gt;0"))</f>
        <v>0</v>
      </c>
      <c r="B131" s="52" t="s">
        <v>367</v>
      </c>
      <c r="C131" s="52" t="s">
        <v>145</v>
      </c>
      <c r="D131" s="53">
        <v>0</v>
      </c>
      <c r="E131" s="53">
        <v>122291</v>
      </c>
      <c r="F131" s="53">
        <v>0</v>
      </c>
      <c r="G131" s="53">
        <v>122291</v>
      </c>
    </row>
    <row r="132" spans="1:7">
      <c r="A132">
        <f>IFERROR(IF(B132="",0,IF(VALUE(LEFT(B132,1))&gt;3,VLOOKUP(VALUE(B132),PROYECCIONES!B:D,3,FALSE),0)),1 + COUNTIF($A$2:A131,"&gt;0"))</f>
        <v>0</v>
      </c>
      <c r="B132" s="52" t="s">
        <v>337</v>
      </c>
      <c r="C132" s="52" t="s">
        <v>146</v>
      </c>
      <c r="D132" s="53">
        <v>0</v>
      </c>
      <c r="E132" s="53">
        <v>1064591.04</v>
      </c>
      <c r="F132" s="53">
        <v>0</v>
      </c>
      <c r="G132" s="53">
        <v>1064591.04</v>
      </c>
    </row>
    <row r="133" spans="1:7">
      <c r="A133">
        <f>IFERROR(IF(B133="",0,IF(VALUE(LEFT(B133,1))&gt;3,VLOOKUP(VALUE(B133),PROYECCIONES!B:D,3,FALSE),0)),1 + COUNTIF($A$2:A132,"&gt;0"))</f>
        <v>0</v>
      </c>
      <c r="B133" s="52" t="s">
        <v>338</v>
      </c>
      <c r="C133" s="52" t="s">
        <v>147</v>
      </c>
      <c r="D133" s="53">
        <v>0</v>
      </c>
      <c r="E133" s="53">
        <v>45750</v>
      </c>
      <c r="F133" s="53">
        <v>0</v>
      </c>
      <c r="G133" s="53">
        <v>45750</v>
      </c>
    </row>
    <row r="134" spans="1:7">
      <c r="A134">
        <f>IFERROR(IF(B134="",0,IF(VALUE(LEFT(B134,1))&gt;3,VLOOKUP(VALUE(B134),PROYECCIONES!B:D,3,FALSE),0)),1 + COUNTIF($A$2:A133,"&gt;0"))</f>
        <v>0</v>
      </c>
      <c r="B134" s="52" t="s">
        <v>339</v>
      </c>
      <c r="C134" s="52" t="s">
        <v>148</v>
      </c>
      <c r="D134" s="53">
        <v>0</v>
      </c>
      <c r="E134" s="53">
        <v>356125.91</v>
      </c>
      <c r="F134" s="53">
        <v>0</v>
      </c>
      <c r="G134" s="53">
        <v>356125.91</v>
      </c>
    </row>
    <row r="135" spans="1:7">
      <c r="A135">
        <f>IFERROR(IF(B135="",0,IF(VALUE(LEFT(B135,1))&gt;3,VLOOKUP(VALUE(B135),PROYECCIONES!B:D,3,FALSE),0)),1 + COUNTIF($A$2:A134,"&gt;0"))</f>
        <v>0</v>
      </c>
      <c r="B135" s="52" t="s">
        <v>340</v>
      </c>
      <c r="C135" s="52" t="s">
        <v>149</v>
      </c>
      <c r="D135" s="53">
        <v>0</v>
      </c>
      <c r="E135" s="53">
        <v>500000</v>
      </c>
      <c r="F135" s="53">
        <v>0</v>
      </c>
      <c r="G135" s="53">
        <v>500000</v>
      </c>
    </row>
    <row r="136" spans="1:7">
      <c r="A136">
        <f>IFERROR(IF(B136="",0,IF(VALUE(LEFT(B136,1))&gt;3,VLOOKUP(VALUE(B136),PROYECCIONES!B:D,3,FALSE),0)),1 + COUNTIF($A$2:A135,"&gt;0"))</f>
        <v>0</v>
      </c>
      <c r="B136" s="52" t="s">
        <v>390</v>
      </c>
      <c r="C136" s="52" t="s">
        <v>201</v>
      </c>
      <c r="D136" s="53">
        <v>0</v>
      </c>
      <c r="E136" s="53">
        <v>1575009.91</v>
      </c>
      <c r="F136" s="53">
        <v>0</v>
      </c>
      <c r="G136" s="53">
        <v>1575009.91</v>
      </c>
    </row>
    <row r="137" spans="1:7">
      <c r="A137">
        <f>IFERROR(IF(B137="",0,IF(VALUE(LEFT(B137,1))&gt;3,VLOOKUP(VALUE(B137),PROYECCIONES!B:D,3,FALSE),0)),1 + COUNTIF($A$2:A136,"&gt;0"))</f>
        <v>0</v>
      </c>
      <c r="B137" s="52" t="s">
        <v>391</v>
      </c>
      <c r="C137" s="52" t="s">
        <v>104</v>
      </c>
      <c r="D137" s="53">
        <v>0</v>
      </c>
      <c r="E137" s="53">
        <v>1743000</v>
      </c>
      <c r="F137" s="53">
        <v>0</v>
      </c>
      <c r="G137" s="53">
        <v>1743000</v>
      </c>
    </row>
    <row r="138" spans="1:7">
      <c r="A138">
        <f>IFERROR(IF(B138="",0,IF(VALUE(LEFT(B138,1))&gt;3,VLOOKUP(VALUE(B138),PROYECCIONES!B:D,3,FALSE),0)),1 + COUNTIF($A$2:A137,"&gt;0"))</f>
        <v>0</v>
      </c>
      <c r="B138" s="52" t="s">
        <v>545</v>
      </c>
      <c r="C138" s="52" t="s">
        <v>105</v>
      </c>
      <c r="D138" s="53">
        <v>0</v>
      </c>
      <c r="E138" s="53">
        <v>12900</v>
      </c>
      <c r="F138" s="53">
        <v>0</v>
      </c>
      <c r="G138" s="53">
        <v>12900</v>
      </c>
    </row>
    <row r="139" spans="1:7">
      <c r="A139">
        <f>IFERROR(IF(B139="",0,IF(VALUE(LEFT(B139,1))&gt;3,VLOOKUP(VALUE(B139),PROYECCIONES!B:D,3,FALSE),0)),1 + COUNTIF($A$2:A138,"&gt;0"))</f>
        <v>0</v>
      </c>
      <c r="B139" s="52" t="s">
        <v>414</v>
      </c>
      <c r="C139" s="52" t="s">
        <v>202</v>
      </c>
      <c r="D139" s="53">
        <v>0</v>
      </c>
      <c r="E139" s="53">
        <v>378151</v>
      </c>
      <c r="F139" s="53">
        <v>0</v>
      </c>
      <c r="G139" s="53">
        <v>378151</v>
      </c>
    </row>
    <row r="140" spans="1:7">
      <c r="A140">
        <f>IFERROR(IF(B140="",0,IF(VALUE(LEFT(B140,1))&gt;3,VLOOKUP(VALUE(B140),PROYECCIONES!B:D,3,FALSE),0)),1 + COUNTIF($A$2:A139,"&gt;0"))</f>
        <v>0</v>
      </c>
      <c r="B140" s="52" t="s">
        <v>341</v>
      </c>
      <c r="C140" s="52" t="s">
        <v>154</v>
      </c>
      <c r="D140" s="53">
        <v>0</v>
      </c>
      <c r="E140" s="53">
        <v>673000</v>
      </c>
      <c r="F140" s="53">
        <v>0</v>
      </c>
      <c r="G140" s="53">
        <v>673000</v>
      </c>
    </row>
    <row r="141" spans="1:7">
      <c r="A141">
        <f>IFERROR(IF(B141="",0,IF(VALUE(LEFT(B141,1))&gt;3,VLOOKUP(VALUE(B141),PROYECCIONES!B:D,3,FALSE),0)),1 + COUNTIF($A$2:A140,"&gt;0"))</f>
        <v>0</v>
      </c>
      <c r="B141" s="52" t="s">
        <v>392</v>
      </c>
      <c r="C141" s="52" t="s">
        <v>155</v>
      </c>
      <c r="D141" s="53">
        <v>0</v>
      </c>
      <c r="E141" s="53">
        <v>840337.31</v>
      </c>
      <c r="F141" s="53">
        <v>0</v>
      </c>
      <c r="G141" s="53">
        <v>840337.31</v>
      </c>
    </row>
    <row r="142" spans="1:7">
      <c r="A142">
        <f>IFERROR(IF(B142="",0,IF(VALUE(LEFT(B142,1))&gt;3,VLOOKUP(VALUE(B142),PROYECCIONES!B:D,3,FALSE),0)),1 + COUNTIF($A$2:A141,"&gt;0"))</f>
        <v>0</v>
      </c>
      <c r="B142" s="52" t="s">
        <v>342</v>
      </c>
      <c r="C142" s="52" t="s">
        <v>156</v>
      </c>
      <c r="D142" s="53">
        <v>0</v>
      </c>
      <c r="E142" s="53">
        <v>8421071.2599999998</v>
      </c>
      <c r="F142" s="53">
        <v>0</v>
      </c>
      <c r="G142" s="53">
        <v>8421071.2599999998</v>
      </c>
    </row>
    <row r="143" spans="1:7">
      <c r="A143">
        <f>IFERROR(IF(B143="",0,IF(VALUE(LEFT(B143,1))&gt;3,VLOOKUP(VALUE(B143),PROYECCIONES!B:D,3,FALSE),0)),1 + COUNTIF($A$2:A142,"&gt;0"))</f>
        <v>0</v>
      </c>
      <c r="B143" s="52" t="s">
        <v>343</v>
      </c>
      <c r="C143" s="52" t="s">
        <v>157</v>
      </c>
      <c r="D143" s="53">
        <v>0</v>
      </c>
      <c r="E143" s="53">
        <v>720000</v>
      </c>
      <c r="F143" s="53">
        <v>0</v>
      </c>
      <c r="G143" s="53">
        <v>720000</v>
      </c>
    </row>
    <row r="144" spans="1:7">
      <c r="A144">
        <f>IFERROR(IF(B144="",0,IF(VALUE(LEFT(B144,1))&gt;3,VLOOKUP(VALUE(B144),PROYECCIONES!B:D,3,FALSE),0)),1 + COUNTIF($A$2:A143,"&gt;0"))</f>
        <v>0</v>
      </c>
      <c r="B144" s="52" t="s">
        <v>546</v>
      </c>
      <c r="C144" s="52" t="s">
        <v>409</v>
      </c>
      <c r="D144" s="53">
        <v>0</v>
      </c>
      <c r="E144" s="53">
        <v>1411947.63</v>
      </c>
      <c r="F144" s="53">
        <v>0</v>
      </c>
      <c r="G144" s="53">
        <v>1411947.63</v>
      </c>
    </row>
    <row r="145" spans="1:7">
      <c r="A145">
        <f>IFERROR(IF(B145="",0,IF(VALUE(LEFT(B145,1))&gt;3,VLOOKUP(VALUE(B145),PROYECCIONES!B:D,3,FALSE),0)),1 + COUNTIF($A$2:A144,"&gt;0"))</f>
        <v>0</v>
      </c>
      <c r="B145" s="52" t="s">
        <v>91</v>
      </c>
      <c r="C145" s="52" t="s">
        <v>159</v>
      </c>
      <c r="D145" s="53">
        <v>0</v>
      </c>
      <c r="E145" s="53">
        <v>9600</v>
      </c>
      <c r="F145" s="53">
        <v>0</v>
      </c>
      <c r="G145" s="53">
        <v>9600</v>
      </c>
    </row>
    <row r="146" spans="1:7">
      <c r="A146">
        <f>IFERROR(IF(B146="",0,IF(VALUE(LEFT(B146,1))&gt;3,VLOOKUP(VALUE(B146),PROYECCIONES!B:D,3,FALSE),0)),1 + COUNTIF($A$2:A145,"&gt;0"))</f>
        <v>0</v>
      </c>
      <c r="B146" s="52" t="s">
        <v>344</v>
      </c>
      <c r="C146" s="52" t="s">
        <v>160</v>
      </c>
      <c r="D146" s="53">
        <v>-1.8626451492309599E-9</v>
      </c>
      <c r="E146" s="53">
        <v>846553.12</v>
      </c>
      <c r="F146" s="53">
        <v>0</v>
      </c>
      <c r="G146" s="53">
        <v>846553.11999999802</v>
      </c>
    </row>
    <row r="147" spans="1:7">
      <c r="A147">
        <f>IFERROR(IF(B147="",0,IF(VALUE(LEFT(B147,1))&gt;3,VLOOKUP(VALUE(B147),PROYECCIONES!B:D,3,FALSE),0)),1 + COUNTIF($A$2:A146,"&gt;0"))</f>
        <v>0</v>
      </c>
      <c r="B147" s="52" t="s">
        <v>345</v>
      </c>
      <c r="C147" s="52" t="s">
        <v>162</v>
      </c>
      <c r="D147" s="53">
        <v>1.8626451492309599E-9</v>
      </c>
      <c r="E147" s="53">
        <v>2049666.68</v>
      </c>
      <c r="F147" s="53">
        <v>0</v>
      </c>
      <c r="G147" s="53">
        <v>2049666.68</v>
      </c>
    </row>
    <row r="148" spans="1:7">
      <c r="A148">
        <f>IFERROR(IF(B148="",0,IF(VALUE(LEFT(B148,1))&gt;3,VLOOKUP(VALUE(B148),PROYECCIONES!B:D,3,FALSE),0)),1 + COUNTIF($A$2:A147,"&gt;0"))</f>
        <v>0</v>
      </c>
      <c r="B148" s="52" t="s">
        <v>368</v>
      </c>
      <c r="C148" s="52" t="s">
        <v>163</v>
      </c>
      <c r="D148" s="53">
        <v>0</v>
      </c>
      <c r="E148" s="53">
        <v>724900</v>
      </c>
      <c r="F148" s="53">
        <v>0</v>
      </c>
      <c r="G148" s="53">
        <v>724900</v>
      </c>
    </row>
    <row r="149" spans="1:7">
      <c r="A149">
        <f>IFERROR(IF(B149="",0,IF(VALUE(LEFT(B149,1))&gt;3,VLOOKUP(VALUE(B149),PROYECCIONES!B:D,3,FALSE),0)),1 + COUNTIF($A$2:A148,"&gt;0"))</f>
        <v>0</v>
      </c>
      <c r="B149" s="52" t="s">
        <v>393</v>
      </c>
      <c r="C149" s="52" t="s">
        <v>164</v>
      </c>
      <c r="D149" s="53">
        <v>0</v>
      </c>
      <c r="E149" s="53">
        <v>7200000</v>
      </c>
      <c r="F149" s="53">
        <v>0</v>
      </c>
      <c r="G149" s="53">
        <v>7200000</v>
      </c>
    </row>
    <row r="150" spans="1:7">
      <c r="A150">
        <f>IFERROR(IF(B150="",0,IF(VALUE(LEFT(B150,1))&gt;3,VLOOKUP(VALUE(B150),PROYECCIONES!B:D,3,FALSE),0)),1 + COUNTIF($A$2:A149,"&gt;0"))</f>
        <v>0</v>
      </c>
      <c r="B150" s="52" t="s">
        <v>369</v>
      </c>
      <c r="C150" s="52" t="s">
        <v>165</v>
      </c>
      <c r="D150" s="53">
        <v>-2.3283064365386999E-10</v>
      </c>
      <c r="E150" s="53">
        <v>358589</v>
      </c>
      <c r="F150" s="53">
        <v>0</v>
      </c>
      <c r="G150" s="53">
        <v>358589</v>
      </c>
    </row>
    <row r="151" spans="1:7">
      <c r="A151">
        <f>IFERROR(IF(B151="",0,IF(VALUE(LEFT(B151,1))&gt;3,VLOOKUP(VALUE(B151),PROYECCIONES!B:D,3,FALSE),0)),1 + COUNTIF($A$2:A150,"&gt;0"))</f>
        <v>0</v>
      </c>
      <c r="B151" s="52" t="s">
        <v>346</v>
      </c>
      <c r="C151" s="52" t="s">
        <v>166</v>
      </c>
      <c r="D151" s="53">
        <v>2.3283064365386999E-10</v>
      </c>
      <c r="E151" s="53">
        <v>191936</v>
      </c>
      <c r="F151" s="53">
        <v>0</v>
      </c>
      <c r="G151" s="53">
        <v>191936</v>
      </c>
    </row>
    <row r="152" spans="1:7">
      <c r="A152">
        <f>IFERROR(IF(B152="",0,IF(VALUE(LEFT(B152,1))&gt;3,VLOOKUP(VALUE(B152),PROYECCIONES!B:D,3,FALSE),0)),1 + COUNTIF($A$2:A151,"&gt;0"))</f>
        <v>0</v>
      </c>
      <c r="B152" s="52" t="s">
        <v>347</v>
      </c>
      <c r="C152" s="52" t="s">
        <v>167</v>
      </c>
      <c r="D152" s="53">
        <v>1.8626451492309599E-9</v>
      </c>
      <c r="E152" s="53">
        <v>62187</v>
      </c>
      <c r="F152" s="53">
        <v>0</v>
      </c>
      <c r="G152" s="53">
        <v>62187.000000001899</v>
      </c>
    </row>
    <row r="153" spans="1:7">
      <c r="A153">
        <f>IFERROR(IF(B153="",0,IF(VALUE(LEFT(B153,1))&gt;3,VLOOKUP(VALUE(B153),PROYECCIONES!B:D,3,FALSE),0)),1 + COUNTIF($A$2:A152,"&gt;0"))</f>
        <v>0</v>
      </c>
      <c r="B153" s="52" t="s">
        <v>394</v>
      </c>
      <c r="C153" s="52" t="s">
        <v>168</v>
      </c>
      <c r="D153" s="53">
        <v>0</v>
      </c>
      <c r="E153" s="53">
        <v>110000</v>
      </c>
      <c r="F153" s="53">
        <v>0</v>
      </c>
      <c r="G153" s="53">
        <v>110000</v>
      </c>
    </row>
    <row r="154" spans="1:7">
      <c r="A154">
        <f>IFERROR(IF(B154="",0,IF(VALUE(LEFT(B154,1))&gt;3,VLOOKUP(VALUE(B154),PROYECCIONES!B:D,3,FALSE),0)),1 + COUNTIF($A$2:A153,"&gt;0"))</f>
        <v>0</v>
      </c>
      <c r="B154" s="52" t="s">
        <v>442</v>
      </c>
      <c r="C154" s="52" t="s">
        <v>443</v>
      </c>
      <c r="D154" s="53">
        <v>0</v>
      </c>
      <c r="E154" s="53">
        <v>5000</v>
      </c>
      <c r="F154" s="53">
        <v>0</v>
      </c>
      <c r="G154" s="53">
        <v>5000</v>
      </c>
    </row>
    <row r="155" spans="1:7">
      <c r="A155">
        <f>IFERROR(IF(B155="",0,IF(VALUE(LEFT(B155,1))&gt;3,VLOOKUP(VALUE(B155),PROYECCIONES!B:D,3,FALSE),0)),1 + COUNTIF($A$2:A154,"&gt;0"))</f>
        <v>0</v>
      </c>
      <c r="B155" s="52" t="s">
        <v>348</v>
      </c>
      <c r="C155" s="52" t="s">
        <v>106</v>
      </c>
      <c r="D155" s="53">
        <v>0</v>
      </c>
      <c r="E155" s="53">
        <v>1446094</v>
      </c>
      <c r="F155" s="53">
        <v>0</v>
      </c>
      <c r="G155" s="53">
        <v>1446094</v>
      </c>
    </row>
    <row r="156" spans="1:7">
      <c r="A156">
        <f>IFERROR(IF(B156="",0,IF(VALUE(LEFT(B156,1))&gt;3,VLOOKUP(VALUE(B156),PROYECCIONES!B:D,3,FALSE),0)),1 + COUNTIF($A$2:A155,"&gt;0"))</f>
        <v>0</v>
      </c>
      <c r="B156" s="52" t="s">
        <v>370</v>
      </c>
      <c r="C156" s="52" t="s">
        <v>169</v>
      </c>
      <c r="D156" s="53">
        <v>0</v>
      </c>
      <c r="E156" s="53">
        <v>9863.5400000000009</v>
      </c>
      <c r="F156" s="53">
        <v>0</v>
      </c>
      <c r="G156" s="53">
        <v>9863.5400000000009</v>
      </c>
    </row>
    <row r="157" spans="1:7">
      <c r="A157">
        <f>IFERROR(IF(B157="",0,IF(VALUE(LEFT(B157,1))&gt;3,VLOOKUP(VALUE(B157),PROYECCIONES!B:D,3,FALSE),0)),1 + COUNTIF($A$2:A156,"&gt;0"))</f>
        <v>0</v>
      </c>
      <c r="B157" s="52" t="s">
        <v>371</v>
      </c>
      <c r="C157" s="52" t="s">
        <v>197</v>
      </c>
      <c r="D157" s="53">
        <v>0</v>
      </c>
      <c r="E157" s="53">
        <v>70000</v>
      </c>
      <c r="F157" s="53">
        <v>0</v>
      </c>
      <c r="G157" s="53">
        <v>70000</v>
      </c>
    </row>
    <row r="158" spans="1:7">
      <c r="A158">
        <f>IFERROR(IF(B158="",0,IF(VALUE(LEFT(B158,1))&gt;3,VLOOKUP(VALUE(B158),PROYECCIONES!B:D,3,FALSE),0)),1 + COUNTIF($A$2:A157,"&gt;0"))</f>
        <v>0</v>
      </c>
      <c r="B158" s="52" t="s">
        <v>349</v>
      </c>
      <c r="C158" s="52" t="s">
        <v>170</v>
      </c>
      <c r="D158" s="53">
        <v>-2.2351741790771501E-8</v>
      </c>
      <c r="E158" s="53">
        <v>7081337.7800000003</v>
      </c>
      <c r="F158" s="53">
        <v>0</v>
      </c>
      <c r="G158" s="53">
        <v>7081337.7799999705</v>
      </c>
    </row>
    <row r="159" spans="1:7">
      <c r="A159">
        <f>IFERROR(IF(B159="",0,IF(VALUE(LEFT(B159,1))&gt;3,VLOOKUP(VALUE(B159),PROYECCIONES!B:D,3,FALSE),0)),1 + COUNTIF($A$2:A158,"&gt;0"))</f>
        <v>0</v>
      </c>
      <c r="B159" s="52" t="s">
        <v>547</v>
      </c>
      <c r="C159" s="52" t="s">
        <v>190</v>
      </c>
      <c r="D159" s="53">
        <v>-4.65661287307739E-10</v>
      </c>
      <c r="E159" s="53">
        <v>50756.3</v>
      </c>
      <c r="F159" s="53">
        <v>0</v>
      </c>
      <c r="G159" s="53">
        <v>50756.299999999603</v>
      </c>
    </row>
    <row r="160" spans="1:7">
      <c r="A160">
        <f>IFERROR(IF(B160="",0,IF(VALUE(LEFT(B160,1))&gt;3,VLOOKUP(VALUE(B160),PROYECCIONES!B:D,3,FALSE),0)),1 + COUNTIF($A$2:A159,"&gt;0"))</f>
        <v>0</v>
      </c>
      <c r="B160" s="52" t="s">
        <v>533</v>
      </c>
      <c r="C160" s="52" t="s">
        <v>534</v>
      </c>
      <c r="D160" s="53">
        <v>0</v>
      </c>
      <c r="E160" s="53">
        <v>1907237.77</v>
      </c>
      <c r="F160" s="53">
        <v>0</v>
      </c>
      <c r="G160" s="53">
        <v>1907237.77</v>
      </c>
    </row>
    <row r="161" spans="1:7">
      <c r="A161">
        <f>IFERROR(IF(B161="",0,IF(VALUE(LEFT(B161,1))&gt;3,VLOOKUP(VALUE(B161),PROYECCIONES!B:D,3,FALSE),0)),1 + COUNTIF($A$2:A160,"&gt;0"))</f>
        <v>0</v>
      </c>
      <c r="B161" s="52" t="s">
        <v>466</v>
      </c>
      <c r="C161" s="52" t="s">
        <v>467</v>
      </c>
      <c r="D161" s="53">
        <v>0</v>
      </c>
      <c r="E161" s="53">
        <v>18000</v>
      </c>
      <c r="F161" s="53">
        <v>0</v>
      </c>
      <c r="G161" s="53">
        <v>18000</v>
      </c>
    </row>
    <row r="162" spans="1:7">
      <c r="A162">
        <f>IFERROR(IF(B162="",0,IF(VALUE(LEFT(B162,1))&gt;3,VLOOKUP(VALUE(B162),PROYECCIONES!B:D,3,FALSE),0)),1 + COUNTIF($A$2:A161,"&gt;0"))</f>
        <v>0</v>
      </c>
      <c r="B162" s="52" t="s">
        <v>350</v>
      </c>
      <c r="C162" s="52" t="s">
        <v>174</v>
      </c>
      <c r="D162" s="53">
        <v>0</v>
      </c>
      <c r="E162" s="53">
        <v>3818087</v>
      </c>
      <c r="F162" s="53">
        <v>0</v>
      </c>
      <c r="G162" s="53">
        <v>3818087</v>
      </c>
    </row>
    <row r="163" spans="1:7">
      <c r="A163">
        <f>IFERROR(IF(B163="",0,IF(VALUE(LEFT(B163,1))&gt;3,VLOOKUP(VALUE(B163),PROYECCIONES!B:D,3,FALSE),0)),1 + COUNTIF($A$2:A162,"&gt;0"))</f>
        <v>0</v>
      </c>
      <c r="B163" s="52" t="s">
        <v>422</v>
      </c>
      <c r="C163" s="52" t="s">
        <v>423</v>
      </c>
      <c r="D163" s="53">
        <v>0</v>
      </c>
      <c r="E163" s="53">
        <v>1304759.54</v>
      </c>
      <c r="F163" s="53">
        <v>0</v>
      </c>
      <c r="G163" s="53">
        <v>1304759.54</v>
      </c>
    </row>
    <row r="164" spans="1:7">
      <c r="A164">
        <f>IFERROR(IF(B164="",0,IF(VALUE(LEFT(B164,1))&gt;3,VLOOKUP(VALUE(B164),PROYECCIONES!B:D,3,FALSE),0)),1 + COUNTIF($A$2:A163,"&gt;0"))</f>
        <v>0</v>
      </c>
      <c r="B164" s="52" t="s">
        <v>351</v>
      </c>
      <c r="C164" s="52" t="s">
        <v>178</v>
      </c>
      <c r="D164" s="53">
        <v>0</v>
      </c>
      <c r="E164" s="53">
        <v>385079.87</v>
      </c>
      <c r="F164" s="53">
        <v>0</v>
      </c>
      <c r="G164" s="53">
        <v>385079.87</v>
      </c>
    </row>
    <row r="165" spans="1:7">
      <c r="A165">
        <f>IFERROR(IF(B165="",0,IF(VALUE(LEFT(B165,1))&gt;3,VLOOKUP(VALUE(B165),PROYECCIONES!B:D,3,FALSE),0)),1 + COUNTIF($A$2:A164,"&gt;0"))</f>
        <v>0</v>
      </c>
      <c r="B165" s="52" t="s">
        <v>352</v>
      </c>
      <c r="C165" s="52" t="s">
        <v>179</v>
      </c>
      <c r="D165" s="53">
        <v>0</v>
      </c>
      <c r="E165" s="53">
        <v>346781</v>
      </c>
      <c r="F165" s="53">
        <v>0</v>
      </c>
      <c r="G165" s="53">
        <v>346781</v>
      </c>
    </row>
    <row r="166" spans="1:7">
      <c r="A166">
        <f>IFERROR(IF(B166="",0,IF(VALUE(LEFT(B166,1))&gt;3,VLOOKUP(VALUE(B166),PROYECCIONES!B:D,3,FALSE),0)),1 + COUNTIF($A$2:A165,"&gt;0"))</f>
        <v>0</v>
      </c>
      <c r="B166" s="52" t="s">
        <v>397</v>
      </c>
      <c r="C166" s="52" t="s">
        <v>180</v>
      </c>
      <c r="D166" s="53">
        <v>0</v>
      </c>
      <c r="E166" s="53">
        <v>2078374</v>
      </c>
      <c r="F166" s="53">
        <v>0</v>
      </c>
      <c r="G166" s="53">
        <v>2078374</v>
      </c>
    </row>
    <row r="167" spans="1:7">
      <c r="A167">
        <f>IFERROR(IF(B167="",0,IF(VALUE(LEFT(B167,1))&gt;3,VLOOKUP(VALUE(B167),PROYECCIONES!B:D,3,FALSE),0)),1 + COUNTIF($A$2:A166,"&gt;0"))</f>
        <v>0</v>
      </c>
      <c r="B167" s="52" t="s">
        <v>353</v>
      </c>
      <c r="C167" s="52" t="s">
        <v>181</v>
      </c>
      <c r="D167" s="53">
        <v>0</v>
      </c>
      <c r="E167" s="53">
        <v>2963840.8</v>
      </c>
      <c r="F167" s="53">
        <v>0</v>
      </c>
      <c r="G167" s="53">
        <v>2963840.8</v>
      </c>
    </row>
    <row r="168" spans="1:7">
      <c r="A168">
        <f>IFERROR(IF(B168="",0,IF(VALUE(LEFT(B168,1))&gt;3,VLOOKUP(VALUE(B168),PROYECCIONES!B:D,3,FALSE),0)),1 + COUNTIF($A$2:A167,"&gt;0"))</f>
        <v>0</v>
      </c>
      <c r="B168" s="52" t="s">
        <v>535</v>
      </c>
      <c r="C168" s="52" t="s">
        <v>183</v>
      </c>
      <c r="D168" s="53">
        <v>0</v>
      </c>
      <c r="E168" s="53">
        <v>381477.77</v>
      </c>
      <c r="F168" s="53">
        <v>0</v>
      </c>
      <c r="G168" s="53">
        <v>381477.77</v>
      </c>
    </row>
    <row r="169" spans="1:7">
      <c r="A169">
        <f>IFERROR(IF(B169="",0,IF(VALUE(LEFT(B169,1))&gt;3,VLOOKUP(VALUE(B169),PROYECCIONES!B:D,3,FALSE),0)),1 + COUNTIF($A$2:A168,"&gt;0"))</f>
        <v>0</v>
      </c>
      <c r="B169" s="52" t="s">
        <v>354</v>
      </c>
      <c r="C169" s="52" t="s">
        <v>107</v>
      </c>
      <c r="D169" s="53">
        <v>0</v>
      </c>
      <c r="E169" s="53">
        <v>31068.59</v>
      </c>
      <c r="F169" s="53">
        <v>0</v>
      </c>
      <c r="G169" s="53">
        <v>31068.590000000098</v>
      </c>
    </row>
    <row r="170" spans="1:7">
      <c r="A170">
        <f>IFERROR(IF(B170="",0,IF(VALUE(LEFT(B170,1))&gt;3,VLOOKUP(VALUE(B170),PROYECCIONES!B:D,3,FALSE),0)),1 + COUNTIF($A$2:A169,"&gt;0"))</f>
        <v>0</v>
      </c>
      <c r="B170" s="52" t="s">
        <v>372</v>
      </c>
      <c r="C170" s="52" t="s">
        <v>184</v>
      </c>
      <c r="D170" s="53">
        <v>0</v>
      </c>
      <c r="E170" s="53">
        <v>182000</v>
      </c>
      <c r="F170" s="53">
        <v>0</v>
      </c>
      <c r="G170" s="53">
        <v>182000</v>
      </c>
    </row>
    <row r="171" spans="1:7">
      <c r="A171">
        <f>IFERROR(IF(B171="",0,IF(VALUE(LEFT(B171,1))&gt;3,VLOOKUP(VALUE(B171),PROYECCIONES!B:D,3,FALSE),0)),1 + COUNTIF($A$2:A170,"&gt;0"))</f>
        <v>0</v>
      </c>
      <c r="B171" s="52" t="s">
        <v>355</v>
      </c>
      <c r="C171" s="52" t="s">
        <v>185</v>
      </c>
      <c r="D171" s="53">
        <v>0</v>
      </c>
      <c r="E171" s="53">
        <v>600000</v>
      </c>
      <c r="F171" s="53">
        <v>0</v>
      </c>
      <c r="G171" s="53">
        <v>600000</v>
      </c>
    </row>
    <row r="172" spans="1:7">
      <c r="A172">
        <f>IFERROR(IF(B172="",0,IF(VALUE(LEFT(B172,1))&gt;3,VLOOKUP(VALUE(B172),PROYECCIONES!B:D,3,FALSE),0)),1 + COUNTIF($A$2:A171,"&gt;0"))</f>
        <v>0</v>
      </c>
      <c r="B172" s="52" t="s">
        <v>356</v>
      </c>
      <c r="C172" s="52" t="s">
        <v>99</v>
      </c>
      <c r="D172" s="53">
        <v>-3.4924596548080398E-10</v>
      </c>
      <c r="E172" s="53">
        <v>1518.07</v>
      </c>
      <c r="F172" s="53">
        <v>169.29</v>
      </c>
      <c r="G172" s="53">
        <v>1348.7799999996801</v>
      </c>
    </row>
    <row r="173" spans="1:7">
      <c r="A173">
        <f>IFERROR(IF(B173="",0,IF(VALUE(LEFT(B173,1))&gt;3,VLOOKUP(VALUE(B173),PROYECCIONES!B:D,3,FALSE),0)),1 + COUNTIF($A$2:A172,"&gt;0"))</f>
        <v>0</v>
      </c>
      <c r="B173" s="52" t="s">
        <v>415</v>
      </c>
      <c r="C173" s="52" t="s">
        <v>100</v>
      </c>
      <c r="D173" s="53">
        <v>0</v>
      </c>
      <c r="E173" s="53">
        <v>33868334</v>
      </c>
      <c r="F173" s="53">
        <v>0</v>
      </c>
      <c r="G173" s="53">
        <v>33868334</v>
      </c>
    </row>
    <row r="174" spans="1:7">
      <c r="A174">
        <f>IFERROR(IF(B174="",0,IF(VALUE(LEFT(B174,1))&gt;3,VLOOKUP(VALUE(B174),PROYECCIONES!B:D,3,FALSE),0)),1 + COUNTIF($A$2:A173,"&gt;0"))</f>
        <v>0</v>
      </c>
      <c r="B174" s="52" t="s">
        <v>416</v>
      </c>
      <c r="C174" s="52" t="s">
        <v>101</v>
      </c>
      <c r="D174" s="53">
        <v>0</v>
      </c>
      <c r="E174" s="53">
        <v>1299393</v>
      </c>
      <c r="F174" s="53">
        <v>0</v>
      </c>
      <c r="G174" s="53">
        <v>1299393</v>
      </c>
    </row>
    <row r="175" spans="1:7">
      <c r="A175">
        <f>IFERROR(IF(B175="",0,IF(VALUE(LEFT(B175,1))&gt;3,VLOOKUP(VALUE(B175),PROYECCIONES!B:D,3,FALSE),0)),1 + COUNTIF($A$2:A174,"&gt;0"))</f>
        <v>0</v>
      </c>
      <c r="B175" s="52" t="s">
        <v>398</v>
      </c>
      <c r="C175" s="52" t="s">
        <v>96</v>
      </c>
      <c r="D175" s="53">
        <v>0</v>
      </c>
      <c r="E175" s="53">
        <v>3118840</v>
      </c>
      <c r="F175" s="53">
        <v>0</v>
      </c>
      <c r="G175" s="53">
        <v>3118840</v>
      </c>
    </row>
    <row r="176" spans="1:7">
      <c r="A176">
        <f>IFERROR(IF(B176="",0,IF(VALUE(LEFT(B176,1))&gt;3,VLOOKUP(VALUE(B176),PROYECCIONES!B:D,3,FALSE),0)),1 + COUNTIF($A$2:A175,"&gt;0"))</f>
        <v>0</v>
      </c>
      <c r="B176" s="52" t="s">
        <v>399</v>
      </c>
      <c r="C176" s="52" t="s">
        <v>97</v>
      </c>
      <c r="D176" s="53">
        <v>0</v>
      </c>
      <c r="E176" s="53">
        <v>3118840</v>
      </c>
      <c r="F176" s="53">
        <v>0</v>
      </c>
      <c r="G176" s="53">
        <v>3118840</v>
      </c>
    </row>
    <row r="177" spans="1:7">
      <c r="A177">
        <f>IFERROR(IF(B177="",0,IF(VALUE(LEFT(B177,1))&gt;3,VLOOKUP(VALUE(B177),PROYECCIONES!B:D,3,FALSE),0)),1 + COUNTIF($A$2:A176,"&gt;0"))</f>
        <v>0</v>
      </c>
      <c r="B177" s="52" t="s">
        <v>400</v>
      </c>
      <c r="C177" s="52" t="s">
        <v>98</v>
      </c>
      <c r="D177" s="53">
        <v>0</v>
      </c>
      <c r="E177" s="53">
        <v>1500836</v>
      </c>
      <c r="F177" s="53">
        <v>0</v>
      </c>
      <c r="G177" s="53">
        <v>1500836</v>
      </c>
    </row>
    <row r="178" spans="1:7">
      <c r="A178">
        <f>IFERROR(IF(B178="",0,IF(VALUE(LEFT(B178,1))&gt;3,VLOOKUP(VALUE(B178),PROYECCIONES!B:D,3,FALSE),0)),1 + COUNTIF($A$2:A177,"&gt;0"))</f>
        <v>0</v>
      </c>
      <c r="B178" s="52" t="s">
        <v>401</v>
      </c>
      <c r="C178" s="52" t="s">
        <v>204</v>
      </c>
      <c r="D178" s="53">
        <v>0</v>
      </c>
      <c r="E178" s="53">
        <v>187634</v>
      </c>
      <c r="F178" s="53">
        <v>0</v>
      </c>
      <c r="G178" s="53">
        <v>187634</v>
      </c>
    </row>
    <row r="179" spans="1:7">
      <c r="A179">
        <f>IFERROR(IF(B179="",0,IF(VALUE(LEFT(B179,1))&gt;3,VLOOKUP(VALUE(B179),PROYECCIONES!B:D,3,FALSE),0)),1 + COUNTIF($A$2:A178,"&gt;0"))</f>
        <v>0</v>
      </c>
      <c r="B179" s="52" t="s">
        <v>402</v>
      </c>
      <c r="C179" s="52" t="s">
        <v>205</v>
      </c>
      <c r="D179" s="53">
        <v>0</v>
      </c>
      <c r="E179" s="53">
        <v>4313400</v>
      </c>
      <c r="F179" s="53">
        <v>0</v>
      </c>
      <c r="G179" s="53">
        <v>4313400</v>
      </c>
    </row>
    <row r="180" spans="1:7">
      <c r="A180">
        <f>IFERROR(IF(B180="",0,IF(VALUE(LEFT(B180,1))&gt;3,VLOOKUP(VALUE(B180),PROYECCIONES!B:D,3,FALSE),0)),1 + COUNTIF($A$2:A179,"&gt;0"))</f>
        <v>0</v>
      </c>
      <c r="B180" s="52" t="s">
        <v>403</v>
      </c>
      <c r="C180" s="52" t="s">
        <v>206</v>
      </c>
      <c r="D180" s="53">
        <v>0</v>
      </c>
      <c r="E180" s="53">
        <v>1437800</v>
      </c>
      <c r="F180" s="53">
        <v>0</v>
      </c>
      <c r="G180" s="53">
        <v>1437800</v>
      </c>
    </row>
    <row r="181" spans="1:7">
      <c r="A181">
        <f>IFERROR(IF(B181="",0,IF(VALUE(LEFT(B181,1))&gt;3,VLOOKUP(VALUE(B181),PROYECCIONES!B:D,3,FALSE),0)),1 + COUNTIF($A$2:A180,"&gt;0"))</f>
        <v>0</v>
      </c>
      <c r="B181" s="52" t="s">
        <v>417</v>
      </c>
      <c r="C181" s="52" t="s">
        <v>164</v>
      </c>
      <c r="D181" s="53">
        <v>0</v>
      </c>
      <c r="E181" s="53">
        <v>9600000</v>
      </c>
      <c r="F181" s="53">
        <v>0</v>
      </c>
      <c r="G181" s="53">
        <v>9600000</v>
      </c>
    </row>
    <row r="182" spans="1:7">
      <c r="A182">
        <f>IFERROR(IF(B182="",0,IF(VALUE(LEFT(B182,1))&gt;3,VLOOKUP(VALUE(B182),PROYECCIONES!B:D,3,FALSE),0)),1 + COUNTIF($A$2:A181,"&gt;0"))</f>
        <v>0</v>
      </c>
      <c r="B182" s="52" t="s">
        <v>404</v>
      </c>
      <c r="C182" s="52" t="s">
        <v>102</v>
      </c>
      <c r="D182" s="53">
        <v>0</v>
      </c>
      <c r="E182" s="53">
        <v>374264</v>
      </c>
      <c r="F182" s="53">
        <v>0</v>
      </c>
      <c r="G182" s="53">
        <v>374264</v>
      </c>
    </row>
    <row r="183" spans="1:7">
      <c r="A183">
        <f>IFERROR(IF(B183="",0,IF(VALUE(LEFT(B183,1))&gt;3,VLOOKUP(VALUE(B183),PROYECCIONES!B:D,3,FALSE),0)),1 + COUNTIF($A$2:A182,"&gt;0"))</f>
        <v>0</v>
      </c>
      <c r="B183" s="52" t="s">
        <v>357</v>
      </c>
      <c r="C183" s="52" t="s">
        <v>357</v>
      </c>
      <c r="D183" s="53">
        <v>0</v>
      </c>
      <c r="E183" s="53" t="s">
        <v>612</v>
      </c>
      <c r="F183" s="53" t="s">
        <v>612</v>
      </c>
      <c r="G183" s="53">
        <v>0</v>
      </c>
    </row>
    <row r="184" spans="1:7">
      <c r="A184">
        <f>IFERROR(IF(B184="",0,IF(VALUE(LEFT(B184,1))&gt;3,VLOOKUP(VALUE(B184),PROYECCIONES!B:D,3,FALSE),0)),1 + COUNTIF($A$2:A183,"&gt;0"))</f>
        <v>0</v>
      </c>
    </row>
    <row r="185" spans="1:7">
      <c r="A185">
        <f>IFERROR(IF(B185="",0,IF(VALUE(LEFT(B185,1))&gt;3,VLOOKUP(VALUE(B185),PROYECCIONES!B:D,3,FALSE),0)),1 + COUNTIF($A$2:A184,"&gt;0"))</f>
        <v>0</v>
      </c>
    </row>
    <row r="186" spans="1:7">
      <c r="A186">
        <f>IFERROR(IF(B186="",0,IF(VALUE(LEFT(B186,1))&gt;3,VLOOKUP(VALUE(B186),PROYECCIONES!B:D,3,FALSE),0)),1 + COUNTIF($A$2:A185,"&gt;0"))</f>
        <v>0</v>
      </c>
    </row>
    <row r="187" spans="1:7">
      <c r="A187">
        <f>IFERROR(IF(B187="",0,IF(VALUE(LEFT(B187,1))&gt;3,VLOOKUP(VALUE(B187),PROYECCIONES!B:D,3,FALSE),0)),1 + COUNTIF($A$2:A186,"&gt;0"))</f>
        <v>0</v>
      </c>
    </row>
    <row r="188" spans="1:7">
      <c r="A188">
        <f>IFERROR(IF(B188="",0,IF(VALUE(LEFT(B188,1))&gt;3,VLOOKUP(VALUE(B188),PROYECCIONES!B:D,3,FALSE),0)),1 + COUNTIF($A$2:A187,"&gt;0"))</f>
        <v>0</v>
      </c>
    </row>
    <row r="189" spans="1:7">
      <c r="A189">
        <f>IFERROR(IF(B189="",0,IF(VALUE(LEFT(B189,1))&gt;3,VLOOKUP(VALUE(B189),PROYECCIONES!B:D,3,FALSE),0)),1 + COUNTIF($A$2:A188,"&gt;0"))</f>
        <v>0</v>
      </c>
    </row>
    <row r="190" spans="1:7">
      <c r="A190">
        <f>IFERROR(IF(B190="",0,IF(VALUE(LEFT(B190,1))&gt;3,VLOOKUP(VALUE(B190),PROYECCIONES!B:D,3,FALSE),0)),1 + COUNTIF($A$2:A189,"&gt;0"))</f>
        <v>0</v>
      </c>
    </row>
    <row r="191" spans="1:7">
      <c r="A191">
        <f>IFERROR(IF(B191="",0,IF(VALUE(LEFT(B191,1))&gt;3,VLOOKUP(VALUE(B191),PROYECCIONES!B:D,3,FALSE),0)),1 + COUNTIF($A$2:A190,"&gt;0"))</f>
        <v>0</v>
      </c>
    </row>
    <row r="192" spans="1:7">
      <c r="A192">
        <f>IFERROR(IF(B192="",0,IF(VALUE(LEFT(B192,1))&gt;3,VLOOKUP(VALUE(B192),PROYECCIONES!B:D,3,FALSE),0)),1 + COUNTIF($A$2:A191,"&gt;0"))</f>
        <v>0</v>
      </c>
    </row>
    <row r="193" spans="1:1">
      <c r="A193">
        <f>IFERROR(IF(B193="",0,IF(VALUE(LEFT(B193,1))&gt;3,VLOOKUP(VALUE(B193),PROYECCIONES!B:D,3,FALSE),0)),1 + COUNTIF($A$2:A192,"&gt;0"))</f>
        <v>0</v>
      </c>
    </row>
    <row r="194" spans="1:1">
      <c r="A194">
        <f>IFERROR(IF(B194="",0,IF(VALUE(LEFT(B194,1))&gt;3,VLOOKUP(VALUE(B194),PROYECCIONES!B:D,3,FALSE),0)),1 + COUNTIF($A$2:A193,"&gt;0"))</f>
        <v>0</v>
      </c>
    </row>
    <row r="195" spans="1:1">
      <c r="A195">
        <f>IFERROR(IF(B195="",0,IF(VALUE(LEFT(B195,1))&gt;3,VLOOKUP(VALUE(B195),PROYECCIONES!B:D,3,FALSE),0)),1 + COUNTIF($A$2:A194,"&gt;0"))</f>
        <v>0</v>
      </c>
    </row>
    <row r="196" spans="1:1">
      <c r="A196">
        <f>IFERROR(IF(B196="",0,IF(VALUE(LEFT(B196,1))&gt;3,VLOOKUP(VALUE(B196),PROYECCIONES!B:D,3,FALSE),0)),1 + COUNTIF($A$2:A195,"&gt;0"))</f>
        <v>0</v>
      </c>
    </row>
    <row r="197" spans="1:1">
      <c r="A197">
        <f>IFERROR(IF(B197="",0,IF(VALUE(LEFT(B197,1))&gt;3,VLOOKUP(VALUE(B197),PROYECCIONES!B:D,3,FALSE),0)),1 + COUNTIF($A$2:A196,"&gt;0"))</f>
        <v>0</v>
      </c>
    </row>
    <row r="198" spans="1:1">
      <c r="A198">
        <f>IFERROR(IF(B198="",0,IF(VALUE(LEFT(B198,1))&gt;3,VLOOKUP(VALUE(B198),PROYECCIONES!B:D,3,FALSE),0)),1 + COUNTIF($A$2:A197,"&gt;0"))</f>
        <v>0</v>
      </c>
    </row>
    <row r="199" spans="1:1">
      <c r="A199">
        <f>IFERROR(IF(B199="",0,IF(VALUE(LEFT(B199,1))&gt;3,VLOOKUP(VALUE(B199),PROYECCIONES!B:D,3,FALSE),0)),1 + COUNTIF($A$2:A198,"&gt;0"))</f>
        <v>0</v>
      </c>
    </row>
    <row r="200" spans="1:1">
      <c r="A200">
        <f>IFERROR(IF(B200="",0,IF(VALUE(LEFT(B200,1))&gt;3,VLOOKUP(VALUE(B200),PROYECCIONES!B:D,3,FALSE),0)),1 + COUNTIF($A$2:A199,"&gt;0"))</f>
        <v>0</v>
      </c>
    </row>
    <row r="201" spans="1:1">
      <c r="A201">
        <f>IFERROR(IF(B201="",0,IF(VALUE(LEFT(B201,1))&gt;3,VLOOKUP(VALUE(B201),PROYECCIONES!B:D,3,FALSE),0)),1 + COUNTIF($A$2:A200,"&gt;0"))</f>
        <v>0</v>
      </c>
    </row>
    <row r="202" spans="1:1">
      <c r="A202">
        <f>IFERROR(IF(B202="",0,IF(VALUE(LEFT(B202,1))&gt;3,VLOOKUP(VALUE(B202),PROYECCIONES!B:D,3,FALSE),0)),1 + COUNTIF($A$2:A201,"&gt;0"))</f>
        <v>0</v>
      </c>
    </row>
    <row r="203" spans="1:1">
      <c r="A203">
        <f>IFERROR(IF(B203="",0,IF(VALUE(LEFT(B203,1))&gt;3,VLOOKUP(VALUE(B203),PROYECCIONES!B:D,3,FALSE),0)),1 + COUNTIF($A$2:A202,"&gt;0"))</f>
        <v>0</v>
      </c>
    </row>
    <row r="204" spans="1:1">
      <c r="A204">
        <f>IFERROR(IF(B204="",0,IF(VALUE(LEFT(B204,1))&gt;3,VLOOKUP(VALUE(B204),PROYECCIONES!B:D,3,FALSE),0)),1 + COUNTIF($A$2:A203,"&gt;0"))</f>
        <v>0</v>
      </c>
    </row>
    <row r="205" spans="1:1">
      <c r="A205">
        <f>IFERROR(IF(B205="",0,IF(VALUE(LEFT(B205,1))&gt;3,VLOOKUP(VALUE(B205),PROYECCIONES!B:D,3,FALSE),0)),1 + COUNTIF($A$2:A204,"&gt;0"))</f>
        <v>0</v>
      </c>
    </row>
    <row r="206" spans="1:1">
      <c r="A206">
        <f>IFERROR(IF(B206="",0,IF(VALUE(LEFT(B206,1))&gt;3,VLOOKUP(VALUE(B206),PROYECCIONES!B:D,3,FALSE),0)),1 + COUNTIF($A$2:A205,"&gt;0"))</f>
        <v>0</v>
      </c>
    </row>
    <row r="207" spans="1:1">
      <c r="A207">
        <f>IFERROR(IF(B207="",0,IF(VALUE(LEFT(B207,1))&gt;3,VLOOKUP(VALUE(B207),PROYECCIONES!B:D,3,FALSE),0)),1 + COUNTIF($A$2:A206,"&gt;0"))</f>
        <v>0</v>
      </c>
    </row>
    <row r="208" spans="1:1">
      <c r="A208">
        <f>IFERROR(IF(B208="",0,IF(VALUE(LEFT(B208,1))&gt;3,VLOOKUP(VALUE(B208),PROYECCIONES!B:D,3,FALSE),0)),1 + COUNTIF($A$2:A207,"&gt;0"))</f>
        <v>0</v>
      </c>
    </row>
    <row r="209" spans="1:1">
      <c r="A209">
        <f>IFERROR(IF(B209="",0,IF(VALUE(LEFT(B209,1))&gt;3,VLOOKUP(VALUE(B209),PROYECCIONES!B:D,3,FALSE),0)),1 + COUNTIF($A$2:A208,"&gt;0"))</f>
        <v>0</v>
      </c>
    </row>
    <row r="210" spans="1:1">
      <c r="A210">
        <f>IFERROR(IF(B210="",0,IF(VALUE(LEFT(B210,1))&gt;3,VLOOKUP(VALUE(B210),PROYECCIONES!B:D,3,FALSE),0)),1 + COUNTIF($A$2:A209,"&gt;0"))</f>
        <v>0</v>
      </c>
    </row>
    <row r="211" spans="1:1">
      <c r="A211">
        <f>IFERROR(IF(B211="",0,IF(VALUE(LEFT(B211,1))&gt;3,VLOOKUP(VALUE(B211),PROYECCIONES!B:D,3,FALSE),0)),1 + COUNTIF($A$2:A210,"&gt;0"))</f>
        <v>0</v>
      </c>
    </row>
    <row r="212" spans="1:1">
      <c r="A212">
        <f>IFERROR(IF(B212="",0,IF(VALUE(LEFT(B212,1))&gt;3,VLOOKUP(VALUE(B212),PROYECCIONES!B:D,3,FALSE),0)),1 + COUNTIF($A$2:A211,"&gt;0"))</f>
        <v>0</v>
      </c>
    </row>
    <row r="213" spans="1:1">
      <c r="A213">
        <f>IFERROR(IF(B213="",0,IF(VALUE(LEFT(B213,1))&gt;3,VLOOKUP(VALUE(B213),PROYECCIONES!B:D,3,FALSE),0)),1 + COUNTIF($A$2:A212,"&gt;0"))</f>
        <v>0</v>
      </c>
    </row>
    <row r="214" spans="1:1">
      <c r="A214">
        <f>IFERROR(IF(B214="",0,IF(VALUE(LEFT(B214,1))&gt;3,VLOOKUP(VALUE(B214),PROYECCIONES!B:D,3,FALSE),0)),1 + COUNTIF($A$2:A213,"&gt;0"))</f>
        <v>0</v>
      </c>
    </row>
    <row r="215" spans="1:1">
      <c r="A215">
        <f>IFERROR(IF(B215="",0,IF(VALUE(LEFT(B215,1))&gt;3,VLOOKUP(VALUE(B215),PROYECCIONES!B:D,3,FALSE),0)),1 + COUNTIF($A$2:A214,"&gt;0"))</f>
        <v>0</v>
      </c>
    </row>
    <row r="216" spans="1:1">
      <c r="A216">
        <f>IFERROR(IF(B216="",0,IF(VALUE(LEFT(B216,1))&gt;3,VLOOKUP(VALUE(B216),PROYECCIONES!B:D,3,FALSE),0)),1 + COUNTIF($A$2:A215,"&gt;0"))</f>
        <v>0</v>
      </c>
    </row>
    <row r="217" spans="1:1">
      <c r="A217">
        <f>IFERROR(IF(B217="",0,IF(VALUE(LEFT(B217,1))&gt;3,VLOOKUP(VALUE(B217),PROYECCIONES!B:D,3,FALSE),0)),1 + COUNTIF($A$2:A216,"&gt;0"))</f>
        <v>0</v>
      </c>
    </row>
    <row r="218" spans="1:1">
      <c r="A218">
        <f>IFERROR(IF(B218="",0,IF(VALUE(LEFT(B218,1))&gt;3,VLOOKUP(VALUE(B218),PROYECCIONES!B:D,3,FALSE),0)),1 + COUNTIF($A$2:A217,"&gt;0"))</f>
        <v>0</v>
      </c>
    </row>
    <row r="219" spans="1:1">
      <c r="A219">
        <f>IFERROR(IF(B219="",0,IF(VALUE(LEFT(B219,1))&gt;3,VLOOKUP(VALUE(B219),PROYECCIONES!B:D,3,FALSE),0)),1 + COUNTIF($A$2:A218,"&gt;0"))</f>
        <v>0</v>
      </c>
    </row>
    <row r="220" spans="1:1">
      <c r="A220">
        <f>IFERROR(IF(B220="",0,IF(VALUE(LEFT(B220,1))&gt;3,VLOOKUP(VALUE(B220),PROYECCIONES!B:D,3,FALSE),0)),1 + COUNTIF($A$2:A219,"&gt;0"))</f>
        <v>0</v>
      </c>
    </row>
    <row r="221" spans="1:1">
      <c r="A221">
        <f>IFERROR(IF(B221="",0,IF(VALUE(LEFT(B221,1))&gt;3,VLOOKUP(VALUE(B221),PROYECCIONES!B:D,3,FALSE),0)),1 + COUNTIF($A$2:A220,"&gt;0"))</f>
        <v>0</v>
      </c>
    </row>
    <row r="222" spans="1:1">
      <c r="A222">
        <f>IFERROR(IF(B222="",0,IF(VALUE(LEFT(B222,1))&gt;3,VLOOKUP(VALUE(B222),PROYECCIONES!B:D,3,FALSE),0)),1 + COUNTIF($A$2:A221,"&gt;0"))</f>
        <v>0</v>
      </c>
    </row>
    <row r="223" spans="1:1">
      <c r="A223">
        <f>IFERROR(IF(B223="",0,IF(VALUE(LEFT(B223,1))&gt;3,VLOOKUP(VALUE(B223),PROYECCIONES!B:D,3,FALSE),0)),1 + COUNTIF($A$2:A222,"&gt;0"))</f>
        <v>0</v>
      </c>
    </row>
    <row r="224" spans="1:1">
      <c r="A224">
        <f>IFERROR(IF(B224="",0,IF(VALUE(LEFT(B224,1))&gt;3,VLOOKUP(VALUE(B224),PROYECCIONES!B:D,3,FALSE),0)),1 + COUNTIF($A$2:A223,"&gt;0"))</f>
        <v>0</v>
      </c>
    </row>
    <row r="225" spans="1:1">
      <c r="A225">
        <f>IFERROR(IF(B225="",0,IF(VALUE(LEFT(B225,1))&gt;3,VLOOKUP(VALUE(B225),PROYECCIONES!B:D,3,FALSE),0)),1 + COUNTIF($A$2:A224,"&gt;0"))</f>
        <v>0</v>
      </c>
    </row>
    <row r="226" spans="1:1">
      <c r="A226">
        <f>IFERROR(IF(B226="",0,IF(VALUE(LEFT(B226,1))&gt;3,VLOOKUP(VALUE(B226),PROYECCIONES!B:D,3,FALSE),0)),1 + COUNTIF($A$2:A225,"&gt;0"))</f>
        <v>0</v>
      </c>
    </row>
    <row r="227" spans="1:1">
      <c r="A227">
        <f>IFERROR(IF(B227="",0,IF(VALUE(LEFT(B227,1))&gt;3,VLOOKUP(VALUE(B227),PROYECCIONES!B:D,3,FALSE),0)),1 + COUNTIF($A$2:A226,"&gt;0"))</f>
        <v>0</v>
      </c>
    </row>
    <row r="228" spans="1:1">
      <c r="A228">
        <f>IFERROR(IF(B228="",0,IF(VALUE(LEFT(B228,1))&gt;3,VLOOKUP(VALUE(B228),PROYECCIONES!B:D,3,FALSE),0)),1 + COUNTIF($A$2:A227,"&gt;0"))</f>
        <v>0</v>
      </c>
    </row>
    <row r="229" spans="1:1">
      <c r="A229">
        <f>IFERROR(IF(B229="",0,IF(VALUE(LEFT(B229,1))&gt;3,VLOOKUP(VALUE(B229),PROYECCIONES!B:D,3,FALSE),0)),1 + COUNTIF($A$2:A228,"&gt;0"))</f>
        <v>0</v>
      </c>
    </row>
    <row r="230" spans="1:1">
      <c r="A230">
        <f>IFERROR(IF(B230="",0,IF(VALUE(LEFT(B230,1))&gt;3,VLOOKUP(VALUE(B230),PROYECCIONES!B:D,3,FALSE),0)),1 + COUNTIF($A$2:A229,"&gt;0"))</f>
        <v>0</v>
      </c>
    </row>
    <row r="231" spans="1:1">
      <c r="A231">
        <f>IFERROR(IF(B231="",0,IF(VALUE(LEFT(B231,1))&gt;3,VLOOKUP(VALUE(B231),PROYECCIONES!B:D,3,FALSE),0)),1 + COUNTIF($A$2:A230,"&gt;0"))</f>
        <v>0</v>
      </c>
    </row>
    <row r="232" spans="1:1">
      <c r="A232">
        <f>IFERROR(IF(B232="",0,IF(VALUE(LEFT(B232,1))&gt;3,VLOOKUP(VALUE(B232),PROYECCIONES!B:D,3,FALSE),0)),1 + COUNTIF($A$2:A231,"&gt;0"))</f>
        <v>0</v>
      </c>
    </row>
    <row r="233" spans="1:1">
      <c r="A233">
        <f>IFERROR(IF(B233="",0,IF(VALUE(LEFT(B233,1))&gt;3,VLOOKUP(VALUE(B233),PROYECCIONES!B:D,3,FALSE),0)),1 + COUNTIF($A$2:A232,"&gt;0"))</f>
        <v>0</v>
      </c>
    </row>
    <row r="234" spans="1:1">
      <c r="A234">
        <f>IFERROR(IF(B234="",0,IF(VALUE(LEFT(B234,1))&gt;3,VLOOKUP(VALUE(B234),PROYECCIONES!B:D,3,FALSE),0)),1 + COUNTIF($A$2:A233,"&gt;0"))</f>
        <v>0</v>
      </c>
    </row>
    <row r="235" spans="1:1">
      <c r="A235">
        <f>IFERROR(IF(B235="",0,IF(VALUE(LEFT(B235,1))&gt;3,VLOOKUP(VALUE(B235),PROYECCIONES!B:D,3,FALSE),0)),1 + COUNTIF($A$2:A234,"&gt;0"))</f>
        <v>0</v>
      </c>
    </row>
    <row r="236" spans="1:1">
      <c r="A236">
        <f>IFERROR(IF(B236="",0,IF(VALUE(LEFT(B236,1))&gt;3,VLOOKUP(VALUE(B236),PROYECCIONES!B:D,3,FALSE),0)),1 + COUNTIF($A$2:A235,"&gt;0"))</f>
        <v>0</v>
      </c>
    </row>
    <row r="237" spans="1:1">
      <c r="A237">
        <f>IFERROR(IF(B237="",0,IF(VALUE(LEFT(B237,1))&gt;3,VLOOKUP(VALUE(B237),PROYECCIONES!B:D,3,FALSE),0)),1 + COUNTIF($A$2:A236,"&gt;0"))</f>
        <v>0</v>
      </c>
    </row>
    <row r="238" spans="1:1">
      <c r="A238">
        <f>IFERROR(IF(B238="",0,IF(VALUE(LEFT(B238,1))&gt;3,VLOOKUP(VALUE(B238),PROYECCIONES!B:D,3,FALSE),0)),1 + COUNTIF($A$2:A237,"&gt;0"))</f>
        <v>0</v>
      </c>
    </row>
    <row r="239" spans="1:1">
      <c r="A239">
        <f>IFERROR(IF(B239="",0,IF(VALUE(LEFT(B239,1))&gt;3,VLOOKUP(VALUE(B239),PROYECCIONES!B:D,3,FALSE),0)),1 + COUNTIF($A$2:A238,"&gt;0"))</f>
        <v>0</v>
      </c>
    </row>
    <row r="240" spans="1:1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autoFilter ref="A2:I300" xr:uid="{EC1BB005-C061-4BB9-888B-C42BFA3E17A1}"/>
  <mergeCells count="4">
    <mergeCell ref="B1:C1"/>
    <mergeCell ref="D1:D2"/>
    <mergeCell ref="E1:F1"/>
    <mergeCell ref="G1:G2"/>
  </mergeCells>
  <conditionalFormatting sqref="B184:B1048576">
    <cfRule type="expression" dxfId="9" priority="1">
      <formula>$A184="No Agregada"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E212E-CAE8-41C8-B850-E802B12ABEFD}">
  <sheetPr codeName="Hoja19"/>
  <dimension ref="A1:M300"/>
  <sheetViews>
    <sheetView workbookViewId="0">
      <pane ySplit="2" topLeftCell="A3" activePane="bottomLeft" state="frozen"/>
      <selection activeCell="P17" sqref="P17"/>
      <selection pane="bottomLeft" activeCell="P17" sqref="P17"/>
    </sheetView>
  </sheetViews>
  <sheetFormatPr baseColWidth="10" defaultRowHeight="15"/>
  <cols>
    <col min="1" max="1" width="19.140625" hidden="1" customWidth="1"/>
    <col min="2" max="2" width="8.85546875" customWidth="1"/>
    <col min="3" max="3" width="29.7109375" customWidth="1"/>
    <col min="4" max="7" width="12.5703125" style="54" bestFit="1" customWidth="1"/>
    <col min="9" max="11" width="11.42578125" hidden="1" customWidth="1"/>
    <col min="12" max="12" width="5.7109375" hidden="1" customWidth="1"/>
    <col min="13" max="13" width="11.42578125" hidden="1" customWidth="1"/>
  </cols>
  <sheetData>
    <row r="1" spans="1:13">
      <c r="B1" s="284" t="s">
        <v>94</v>
      </c>
      <c r="C1" s="285"/>
      <c r="D1" s="286" t="s">
        <v>265</v>
      </c>
      <c r="E1" s="288" t="s">
        <v>266</v>
      </c>
      <c r="F1" s="289"/>
      <c r="G1" s="286" t="s">
        <v>267</v>
      </c>
    </row>
    <row r="2" spans="1:13">
      <c r="B2" s="51" t="s">
        <v>268</v>
      </c>
      <c r="C2" s="51" t="s">
        <v>269</v>
      </c>
      <c r="D2" s="287"/>
      <c r="E2" s="65" t="s">
        <v>270</v>
      </c>
      <c r="F2" s="65" t="s">
        <v>271</v>
      </c>
      <c r="G2" s="287"/>
    </row>
    <row r="3" spans="1:13">
      <c r="A3">
        <f>IFERROR(IF(B3="",0,IF(VALUE(LEFT(B3,1))&gt;3,VLOOKUP(VALUE(B3),PROYECCIONES!B:D,3,FALSE),0)),1 + COUNTIF($A$2:A2,"&gt;0"))</f>
        <v>0</v>
      </c>
      <c r="B3" s="52" t="s">
        <v>358</v>
      </c>
      <c r="C3" s="52" t="s">
        <v>359</v>
      </c>
      <c r="D3" s="53">
        <v>3385</v>
      </c>
      <c r="E3" s="53">
        <v>2217915</v>
      </c>
      <c r="F3" s="53">
        <v>2080500</v>
      </c>
      <c r="G3" s="53">
        <v>140800</v>
      </c>
      <c r="I3">
        <f>COUNTIF(A3:A300,"&gt;0")</f>
        <v>0</v>
      </c>
      <c r="J3" t="s">
        <v>3</v>
      </c>
      <c r="K3" t="s">
        <v>223</v>
      </c>
      <c r="L3" t="s">
        <v>224</v>
      </c>
    </row>
    <row r="4" spans="1:13">
      <c r="A4">
        <f>IFERROR(IF(B4="",0,IF(VALUE(LEFT(B4,1))&gt;3,VLOOKUP(VALUE(B4),PROYECCIONES!B:D,3,FALSE),0)),1 + COUNTIF($A$2:A3,"&gt;0"))</f>
        <v>0</v>
      </c>
      <c r="B4" s="52" t="s">
        <v>548</v>
      </c>
      <c r="C4" s="52" t="s">
        <v>549</v>
      </c>
      <c r="D4" s="53">
        <v>0</v>
      </c>
      <c r="E4" s="53">
        <v>400000</v>
      </c>
      <c r="F4" s="53">
        <v>0</v>
      </c>
      <c r="G4" s="53">
        <v>400000</v>
      </c>
      <c r="I4" s="123">
        <v>1</v>
      </c>
      <c r="J4" t="str">
        <f>IFERROR(VLOOKUP(I4,'Balance a Ene'!$A$3:$C$300,2,FALSE),"")</f>
        <v/>
      </c>
      <c r="K4" t="str">
        <f>IFERROR(VLOOKUP(I4,'Balance a Ene'!$A$3:$C$300,3,FALSE),"")</f>
        <v/>
      </c>
      <c r="L4" t="str">
        <f>IFERROR(IF(AND(VALUE(LEFT(J4,1))&gt;=6,VALUE(LEFT(J4,1))&lt;=7),_xlfn.XMATCH(VALUE(J4),PROYECCIONES!$B$1:$B$38,-1,1),_xlfn.XMATCH(VALUE(J4),PROYECCIONES!$B$1:$B$333,-1,1)),"")</f>
        <v/>
      </c>
      <c r="M4">
        <f>SUM(L4:L18)</f>
        <v>0</v>
      </c>
    </row>
    <row r="5" spans="1:13">
      <c r="A5">
        <f>IFERROR(IF(B5="",0,IF(VALUE(LEFT(B5,1))&gt;3,VLOOKUP(VALUE(B5),PROYECCIONES!B:D,3,FALSE),0)),1 + COUNTIF($A$2:A4,"&gt;0"))</f>
        <v>0</v>
      </c>
      <c r="B5" s="52" t="s">
        <v>272</v>
      </c>
      <c r="C5" s="52" t="s">
        <v>468</v>
      </c>
      <c r="D5" s="53">
        <v>3602229.1400008202</v>
      </c>
      <c r="E5" s="53">
        <v>271561817.26999998</v>
      </c>
      <c r="F5" s="53">
        <v>271422024.58999997</v>
      </c>
      <c r="G5" s="53">
        <v>3742021.8200006499</v>
      </c>
      <c r="I5" s="123">
        <v>2</v>
      </c>
      <c r="J5" t="str">
        <f>IFERROR(VLOOKUP(I5,'Balance a Ene'!$A$3:$C$300,2,FALSE),"")</f>
        <v/>
      </c>
      <c r="K5" t="str">
        <f>IFERROR(VLOOKUP(I5,'Balance a Ene'!$A$3:$C$300,3,FALSE),"")</f>
        <v/>
      </c>
      <c r="L5" t="str">
        <f>IFERROR(IF(AND(VALUE(LEFT(J5,1))&gt;=6,VALUE(LEFT(J5,1))&lt;=7),_xlfn.XMATCH(VALUE(J5),PROYECCIONES!$B$1:$B$38,-1,1),_xlfn.XMATCH(VALUE(J5),PROYECCIONES!$B$1:$B$333,-1,1)),"")</f>
        <v/>
      </c>
    </row>
    <row r="6" spans="1:13">
      <c r="A6">
        <f>IFERROR(IF(B6="",0,IF(VALUE(LEFT(B6,1))&gt;3,VLOOKUP(VALUE(B6),PROYECCIONES!B:D,3,FALSE),0)),1 + COUNTIF($A$2:A5,"&gt;0"))</f>
        <v>0</v>
      </c>
      <c r="B6" s="52" t="s">
        <v>273</v>
      </c>
      <c r="C6" s="52" t="s">
        <v>469</v>
      </c>
      <c r="D6" s="53">
        <v>2038.61000000685</v>
      </c>
      <c r="E6" s="53">
        <v>0</v>
      </c>
      <c r="F6" s="53">
        <v>0</v>
      </c>
      <c r="G6" s="53">
        <v>2038.61000000685</v>
      </c>
      <c r="I6" s="123">
        <v>3</v>
      </c>
      <c r="J6" t="str">
        <f>IFERROR(VLOOKUP(I6,'Balance a Ene'!$A$3:$C$300,2,FALSE),"")</f>
        <v/>
      </c>
      <c r="K6" t="str">
        <f>IFERROR(VLOOKUP(I6,'Balance a Ene'!$A$3:$C$300,3,FALSE),"")</f>
        <v/>
      </c>
      <c r="L6" t="str">
        <f>IFERROR(IF(AND(VALUE(LEFT(J6,1))&gt;=6,VALUE(LEFT(J6,1))&lt;=7),_xlfn.XMATCH(VALUE(J6),PROYECCIONES!$B$1:$B$38,-1,1),_xlfn.XMATCH(VALUE(J6),PROYECCIONES!$B$1:$B$333,-1,1)),"")</f>
        <v/>
      </c>
    </row>
    <row r="7" spans="1:13">
      <c r="A7">
        <f>IFERROR(IF(B7="",0,IF(VALUE(LEFT(B7,1))&gt;3,VLOOKUP(VALUE(B7),PROYECCIONES!B:D,3,FALSE),0)),1 + COUNTIF($A$2:A6,"&gt;0"))</f>
        <v>0</v>
      </c>
      <c r="B7" s="52" t="s">
        <v>418</v>
      </c>
      <c r="C7" s="52" t="s">
        <v>470</v>
      </c>
      <c r="D7" s="53">
        <v>30748859.73</v>
      </c>
      <c r="E7" s="53">
        <v>117139600</v>
      </c>
      <c r="F7" s="53">
        <v>124829376.02</v>
      </c>
      <c r="G7" s="53">
        <v>23059083.710000001</v>
      </c>
      <c r="I7" s="123">
        <v>4</v>
      </c>
      <c r="J7" t="str">
        <f>IFERROR(VLOOKUP(I7,'Balance a Ene'!$A$3:$C$300,2,FALSE),"")</f>
        <v/>
      </c>
      <c r="K7" t="str">
        <f>IFERROR(VLOOKUP(I7,'Balance a Ene'!$A$3:$C$300,3,FALSE),"")</f>
        <v/>
      </c>
      <c r="L7" t="str">
        <f>IFERROR(IF(AND(VALUE(LEFT(J7,1))&gt;=6,VALUE(LEFT(J7,1))&lt;=7),_xlfn.XMATCH(VALUE(J7),PROYECCIONES!$B$1:$B$38,-1,1),_xlfn.XMATCH(VALUE(J7),PROYECCIONES!$B$1:$B$333,-1,1)),"")</f>
        <v/>
      </c>
    </row>
    <row r="8" spans="1:13">
      <c r="A8">
        <f>IFERROR(IF(B8="",0,IF(VALUE(LEFT(B8,1))&gt;3,VLOOKUP(VALUE(B8),PROYECCIONES!B:D,3,FALSE),0)),1 + COUNTIF($A$2:A7,"&gt;0"))</f>
        <v>0</v>
      </c>
      <c r="B8" s="52" t="s">
        <v>118</v>
      </c>
      <c r="C8" s="52" t="s">
        <v>225</v>
      </c>
      <c r="D8" s="53">
        <v>38903066.089999899</v>
      </c>
      <c r="E8" s="53">
        <v>334882587.91000003</v>
      </c>
      <c r="F8" s="53">
        <v>352379720</v>
      </c>
      <c r="G8" s="53">
        <v>21405934</v>
      </c>
      <c r="I8" s="123">
        <v>5</v>
      </c>
      <c r="J8" t="str">
        <f>IFERROR(VLOOKUP(I8,'Balance a Ene'!$A$3:$C$300,2,FALSE),"")</f>
        <v/>
      </c>
      <c r="K8" t="str">
        <f>IFERROR(VLOOKUP(I8,'Balance a Ene'!$A$3:$C$300,3,FALSE),"")</f>
        <v/>
      </c>
      <c r="L8" t="str">
        <f>IFERROR(IF(AND(VALUE(LEFT(J8,1))&gt;=6,VALUE(LEFT(J8,1))&lt;=7),_xlfn.XMATCH(VALUE(J8),PROYECCIONES!$B$1:$B$38,-1,1),_xlfn.XMATCH(VALUE(J8),PROYECCIONES!$B$1:$B$333,-1,1)),"")</f>
        <v/>
      </c>
    </row>
    <row r="9" spans="1:13">
      <c r="A9">
        <f>IFERROR(IF(B9="",0,IF(VALUE(LEFT(B9,1))&gt;3,VLOOKUP(VALUE(B9),PROYECCIONES!B:D,3,FALSE),0)),1 + COUNTIF($A$2:A8,"&gt;0"))</f>
        <v>0</v>
      </c>
      <c r="B9" s="52" t="s">
        <v>274</v>
      </c>
      <c r="C9" s="52" t="s">
        <v>226</v>
      </c>
      <c r="D9" s="53">
        <v>239052845.71000001</v>
      </c>
      <c r="E9" s="53">
        <v>60169678.579999998</v>
      </c>
      <c r="F9" s="53">
        <v>29333964.68</v>
      </c>
      <c r="G9" s="53">
        <v>269888559.61000001</v>
      </c>
      <c r="I9" s="123">
        <v>6</v>
      </c>
      <c r="J9" t="str">
        <f>IFERROR(VLOOKUP(I9,'Balance a Ene'!$A$3:$C$300,2,FALSE),"")</f>
        <v/>
      </c>
      <c r="K9" t="str">
        <f>IFERROR(VLOOKUP(I9,'Balance a Ene'!$A$3:$C$300,3,FALSE),"")</f>
        <v/>
      </c>
      <c r="L9" t="str">
        <f>IFERROR(IF(AND(VALUE(LEFT(J9,1))&gt;=6,VALUE(LEFT(J9,1))&lt;=7),_xlfn.XMATCH(VALUE(J9),PROYECCIONES!$B$1:$B$38,-1,1),_xlfn.XMATCH(VALUE(J9),PROYECCIONES!$B$1:$B$333,-1,1)),"")</f>
        <v/>
      </c>
    </row>
    <row r="10" spans="1:13">
      <c r="A10">
        <f>IFERROR(IF(B10="",0,IF(VALUE(LEFT(B10,1))&gt;3,VLOOKUP(VALUE(B10),PROYECCIONES!B:D,3,FALSE),0)),1 + COUNTIF($A$2:A9,"&gt;0"))</f>
        <v>0</v>
      </c>
      <c r="B10" s="52" t="s">
        <v>275</v>
      </c>
      <c r="C10" s="52" t="s">
        <v>227</v>
      </c>
      <c r="D10" s="53">
        <v>14200000</v>
      </c>
      <c r="E10" s="53">
        <v>32900000</v>
      </c>
      <c r="F10" s="53">
        <v>0</v>
      </c>
      <c r="G10" s="53">
        <v>47100000</v>
      </c>
      <c r="I10" s="123">
        <v>7</v>
      </c>
      <c r="J10" t="str">
        <f>IFERROR(VLOOKUP(I10,'Balance a Ene'!$A$3:$C$300,2,FALSE),"")</f>
        <v/>
      </c>
      <c r="K10" t="str">
        <f>IFERROR(VLOOKUP(I10,'Balance a Ene'!$A$3:$C$300,3,FALSE),"")</f>
        <v/>
      </c>
      <c r="L10" t="str">
        <f>IFERROR(IF(AND(VALUE(LEFT(J10,1))&gt;=6,VALUE(LEFT(J10,1))&lt;=7),_xlfn.XMATCH(VALUE(J10),PROYECCIONES!$B$1:$B$38,-1,1),_xlfn.XMATCH(VALUE(J10),PROYECCIONES!$B$1:$B$333,-1,1)),"")</f>
        <v/>
      </c>
    </row>
    <row r="11" spans="1:13">
      <c r="A11">
        <f>IFERROR(IF(B11="",0,IF(VALUE(LEFT(B11,1))&gt;3,VLOOKUP(VALUE(B11),PROYECCIONES!B:D,3,FALSE),0)),1 + COUNTIF($A$2:A10,"&gt;0"))</f>
        <v>0</v>
      </c>
      <c r="B11" s="52" t="s">
        <v>276</v>
      </c>
      <c r="C11" s="52" t="s">
        <v>228</v>
      </c>
      <c r="D11" s="53">
        <v>35066662</v>
      </c>
      <c r="E11" s="53">
        <v>2000008</v>
      </c>
      <c r="F11" s="53">
        <v>1000000</v>
      </c>
      <c r="G11" s="53">
        <v>36066670</v>
      </c>
      <c r="I11" s="123">
        <v>8</v>
      </c>
      <c r="J11" t="str">
        <f>IFERROR(VLOOKUP(I11,'Balance a Ene'!$A$3:$C$300,2,FALSE),"")</f>
        <v/>
      </c>
      <c r="K11" t="str">
        <f>IFERROR(VLOOKUP(I11,'Balance a Ene'!$A$3:$C$300,3,FALSE),"")</f>
        <v/>
      </c>
      <c r="L11" t="str">
        <f>IFERROR(IF(AND(VALUE(LEFT(J11,1))&gt;=6,VALUE(LEFT(J11,1))&lt;=7),_xlfn.XMATCH(VALUE(J11),PROYECCIONES!$B$1:$B$38,-1,1),_xlfn.XMATCH(VALUE(J11),PROYECCIONES!$B$1:$B$333,-1,1)),"")</f>
        <v/>
      </c>
    </row>
    <row r="12" spans="1:13">
      <c r="A12">
        <f>IFERROR(IF(B12="",0,IF(VALUE(LEFT(B12,1))&gt;3,VLOOKUP(VALUE(B12),PROYECCIONES!B:D,3,FALSE),0)),1 + COUNTIF($A$2:A11,"&gt;0"))</f>
        <v>0</v>
      </c>
      <c r="B12" s="52" t="s">
        <v>277</v>
      </c>
      <c r="C12" s="52" t="s">
        <v>229</v>
      </c>
      <c r="D12" s="53">
        <v>0</v>
      </c>
      <c r="E12" s="53">
        <v>11933498</v>
      </c>
      <c r="F12" s="53">
        <v>11533498</v>
      </c>
      <c r="G12" s="53">
        <v>400000</v>
      </c>
      <c r="I12" s="123">
        <v>9</v>
      </c>
      <c r="J12" t="str">
        <f>IFERROR(VLOOKUP(I12,'Balance a Ene'!$A$3:$C$300,2,FALSE),"")</f>
        <v/>
      </c>
      <c r="K12" t="str">
        <f>IFERROR(VLOOKUP(I12,'Balance a Ene'!$A$3:$C$300,3,FALSE),"")</f>
        <v/>
      </c>
      <c r="L12" t="str">
        <f>IFERROR(IF(AND(VALUE(LEFT(J12,1))&gt;=6,VALUE(LEFT(J12,1))&lt;=7),_xlfn.XMATCH(VALUE(J12),PROYECCIONES!$B$1:$B$38,-1,1),_xlfn.XMATCH(VALUE(J12),PROYECCIONES!$B$1:$B$333,-1,1)),"")</f>
        <v/>
      </c>
    </row>
    <row r="13" spans="1:13">
      <c r="A13">
        <f>IFERROR(IF(B13="",0,IF(VALUE(LEFT(B13,1))&gt;3,VLOOKUP(VALUE(B13),PROYECCIONES!B:D,3,FALSE),0)),1 + COUNTIF($A$2:A12,"&gt;0"))</f>
        <v>0</v>
      </c>
      <c r="B13" s="52" t="s">
        <v>278</v>
      </c>
      <c r="C13" s="52" t="s">
        <v>230</v>
      </c>
      <c r="D13" s="53">
        <v>55910253.5</v>
      </c>
      <c r="E13" s="53">
        <v>31986817</v>
      </c>
      <c r="F13" s="53">
        <v>56306253.5</v>
      </c>
      <c r="G13" s="53">
        <v>31590817</v>
      </c>
      <c r="I13" s="123">
        <v>10</v>
      </c>
      <c r="J13" t="str">
        <f>IFERROR(VLOOKUP(I13,'Balance a Ene'!$A$3:$C$300,2,FALSE),"")</f>
        <v/>
      </c>
      <c r="K13" t="str">
        <f>IFERROR(VLOOKUP(I13,'Balance a Ene'!$A$3:$C$300,3,FALSE),"")</f>
        <v/>
      </c>
      <c r="L13" t="str">
        <f>IFERROR(IF(AND(VALUE(LEFT(J13,1))&gt;=6,VALUE(LEFT(J13,1))&lt;=7),_xlfn.XMATCH(VALUE(J13),PROYECCIONES!$B$1:$B$38,-1,1),_xlfn.XMATCH(VALUE(J13),PROYECCIONES!$B$1:$B$333,-1,1)),"")</f>
        <v/>
      </c>
    </row>
    <row r="14" spans="1:13">
      <c r="A14">
        <f>IFERROR(IF(B14="",0,IF(VALUE(LEFT(B14,1))&gt;3,VLOOKUP(VALUE(B14),PROYECCIONES!B:D,3,FALSE),0)),1 + COUNTIF($A$2:A13,"&gt;0"))</f>
        <v>0</v>
      </c>
      <c r="B14" s="52" t="s">
        <v>425</v>
      </c>
      <c r="C14" s="52" t="s">
        <v>426</v>
      </c>
      <c r="D14" s="53">
        <v>230000</v>
      </c>
      <c r="E14" s="53">
        <v>0</v>
      </c>
      <c r="F14" s="53">
        <v>0</v>
      </c>
      <c r="G14" s="53">
        <v>230000</v>
      </c>
      <c r="I14" s="123">
        <v>11</v>
      </c>
      <c r="J14" t="str">
        <f>IFERROR(VLOOKUP(I14,'Balance a Ene'!$A$3:$C$300,2,FALSE),"")</f>
        <v/>
      </c>
      <c r="K14" t="str">
        <f>IFERROR(VLOOKUP(I14,'Balance a Ene'!$A$3:$C$300,3,FALSE),"")</f>
        <v/>
      </c>
      <c r="L14" t="str">
        <f>IFERROR(IF(AND(VALUE(LEFT(J14,1))&gt;=6,VALUE(LEFT(J14,1))&lt;=7),_xlfn.XMATCH(VALUE(J14),PROYECCIONES!$B$1:$B$38,-1,1),_xlfn.XMATCH(VALUE(J14),PROYECCIONES!$B$1:$B$333,-1,1)),"")</f>
        <v/>
      </c>
    </row>
    <row r="15" spans="1:13">
      <c r="A15">
        <f>IFERROR(IF(B15="",0,IF(VALUE(LEFT(B15,1))&gt;3,VLOOKUP(VALUE(B15),PROYECCIONES!B:D,3,FALSE),0)),1 + COUNTIF($A$2:A14,"&gt;0"))</f>
        <v>0</v>
      </c>
      <c r="B15" s="52" t="s">
        <v>454</v>
      </c>
      <c r="C15" s="52" t="s">
        <v>455</v>
      </c>
      <c r="D15" s="53">
        <v>24000</v>
      </c>
      <c r="E15" s="53">
        <v>0</v>
      </c>
      <c r="F15" s="53">
        <v>24000</v>
      </c>
      <c r="G15" s="53">
        <v>0</v>
      </c>
      <c r="I15" s="123">
        <v>12</v>
      </c>
      <c r="J15" t="str">
        <f>IFERROR(VLOOKUP(I15,'Balance a Ene'!$A$3:$C$300,2,FALSE),"")</f>
        <v/>
      </c>
      <c r="K15" t="str">
        <f>IFERROR(VLOOKUP(I15,'Balance a Ene'!$A$3:$C$300,3,FALSE),"")</f>
        <v/>
      </c>
      <c r="L15" t="str">
        <f>IFERROR(IF(AND(VALUE(LEFT(J15,1))&gt;=6,VALUE(LEFT(J15,1))&lt;=7),_xlfn.XMATCH(VALUE(J15),PROYECCIONES!$B$1:$B$38,-1,1),_xlfn.XMATCH(VALUE(J15),PROYECCIONES!$B$1:$B$333,-1,1)),"")</f>
        <v/>
      </c>
    </row>
    <row r="16" spans="1:13">
      <c r="A16">
        <f>IFERROR(IF(B16="",0,IF(VALUE(LEFT(B16,1))&gt;3,VLOOKUP(VALUE(B16),PROYECCIONES!B:D,3,FALSE),0)),1 + COUNTIF($A$2:A15,"&gt;0"))</f>
        <v>0</v>
      </c>
      <c r="B16" s="52" t="s">
        <v>279</v>
      </c>
      <c r="C16" s="52" t="s">
        <v>231</v>
      </c>
      <c r="D16" s="53">
        <v>922339.449999996</v>
      </c>
      <c r="E16" s="53">
        <v>1550346</v>
      </c>
      <c r="F16" s="53">
        <v>2143523</v>
      </c>
      <c r="G16" s="53">
        <v>329162.449999996</v>
      </c>
      <c r="I16" s="123">
        <v>13</v>
      </c>
      <c r="J16" t="str">
        <f>IFERROR(VLOOKUP(I16,'Balance a Ene'!$A$3:$C$300,2,FALSE),"")</f>
        <v/>
      </c>
      <c r="K16" t="str">
        <f>IFERROR(VLOOKUP(I16,'Balance a Ene'!$A$3:$C$300,3,FALSE),"")</f>
        <v/>
      </c>
      <c r="L16" t="str">
        <f>IFERROR(IF(AND(VALUE(LEFT(J16,1))&gt;=6,VALUE(LEFT(J16,1))&lt;=7),_xlfn.XMATCH(VALUE(J16),PROYECCIONES!$B$1:$B$38,-1,1),_xlfn.XMATCH(VALUE(J16),PROYECCIONES!$B$1:$B$333,-1,1)),"")</f>
        <v/>
      </c>
    </row>
    <row r="17" spans="1:12">
      <c r="A17">
        <f>IFERROR(IF(B17="",0,IF(VALUE(LEFT(B17,1))&gt;3,VLOOKUP(VALUE(B17),PROYECCIONES!B:D,3,FALSE),0)),1 + COUNTIF($A$2:A16,"&gt;0"))</f>
        <v>0</v>
      </c>
      <c r="B17" s="52" t="s">
        <v>280</v>
      </c>
      <c r="C17" s="52" t="s">
        <v>232</v>
      </c>
      <c r="D17" s="53">
        <v>1595197.91</v>
      </c>
      <c r="E17" s="53">
        <v>553857</v>
      </c>
      <c r="F17" s="53">
        <v>1595197.91</v>
      </c>
      <c r="G17" s="53">
        <v>553857</v>
      </c>
      <c r="I17" s="123">
        <v>14</v>
      </c>
      <c r="J17" t="str">
        <f>IFERROR(VLOOKUP(I17,'Balance a Ene'!$A$3:$C$300,2,FALSE),"")</f>
        <v/>
      </c>
      <c r="K17" t="str">
        <f>IFERROR(VLOOKUP(I17,'Balance a Ene'!$A$3:$C$300,3,FALSE),"")</f>
        <v/>
      </c>
      <c r="L17" t="str">
        <f>IFERROR(IF(AND(VALUE(LEFT(J17,1))&gt;=6,VALUE(LEFT(J17,1))&lt;=7),_xlfn.XMATCH(VALUE(J17),PROYECCIONES!$B$1:$B$38,-1,1),_xlfn.XMATCH(VALUE(J17),PROYECCIONES!$B$1:$B$333,-1,1)),"")</f>
        <v/>
      </c>
    </row>
    <row r="18" spans="1:12">
      <c r="A18">
        <f>IFERROR(IF(B18="",0,IF(VALUE(LEFT(B18,1))&gt;3,VLOOKUP(VALUE(B18),PROYECCIONES!B:D,3,FALSE),0)),1 + COUNTIF($A$2:A17,"&gt;0"))</f>
        <v>0</v>
      </c>
      <c r="B18" s="52" t="s">
        <v>281</v>
      </c>
      <c r="C18" s="52" t="s">
        <v>233</v>
      </c>
      <c r="D18" s="53">
        <v>0</v>
      </c>
      <c r="E18" s="53">
        <v>61800</v>
      </c>
      <c r="F18" s="53">
        <v>0</v>
      </c>
      <c r="G18" s="53">
        <v>61800</v>
      </c>
      <c r="I18" s="123">
        <v>15</v>
      </c>
      <c r="J18" t="str">
        <f>IFERROR(VLOOKUP(I18,'Balance a Ene'!$A$3:$C$300,2,FALSE),"")</f>
        <v/>
      </c>
      <c r="K18" t="str">
        <f>IFERROR(VLOOKUP(I18,'Balance a Ene'!$A$3:$C$300,3,FALSE),"")</f>
        <v/>
      </c>
      <c r="L18" t="str">
        <f>IFERROR(IF(AND(VALUE(LEFT(J18,1))&gt;=6,VALUE(LEFT(J18,1))&lt;=7),_xlfn.XMATCH(VALUE(J18),PROYECCIONES!$B$1:$B$38,-1,1),_xlfn.XMATCH(VALUE(J18),PROYECCIONES!$B$1:$B$333,-1,1)),"")</f>
        <v/>
      </c>
    </row>
    <row r="19" spans="1:12">
      <c r="A19">
        <f>IFERROR(IF(B19="",0,IF(VALUE(LEFT(B19,1))&gt;3,VLOOKUP(VALUE(B19),PROYECCIONES!B:D,3,FALSE),0)),1 + COUNTIF($A$2:A18,"&gt;0"))</f>
        <v>0</v>
      </c>
      <c r="B19" s="52" t="s">
        <v>405</v>
      </c>
      <c r="C19" s="52" t="s">
        <v>406</v>
      </c>
      <c r="D19" s="53">
        <v>0</v>
      </c>
      <c r="E19" s="53">
        <v>313500</v>
      </c>
      <c r="F19" s="53">
        <v>0</v>
      </c>
      <c r="G19" s="53">
        <v>313500</v>
      </c>
    </row>
    <row r="20" spans="1:12">
      <c r="A20">
        <f>IFERROR(IF(B20="",0,IF(VALUE(LEFT(B20,1))&gt;3,VLOOKUP(VALUE(B20),PROYECCIONES!B:D,3,FALSE),0)),1 + COUNTIF($A$2:A19,"&gt;0"))</f>
        <v>0</v>
      </c>
      <c r="B20" s="52" t="s">
        <v>427</v>
      </c>
      <c r="C20" s="52" t="s">
        <v>428</v>
      </c>
      <c r="D20" s="53">
        <v>251700</v>
      </c>
      <c r="E20" s="53">
        <v>44200</v>
      </c>
      <c r="F20" s="53">
        <v>251700</v>
      </c>
      <c r="G20" s="53">
        <v>44200</v>
      </c>
    </row>
    <row r="21" spans="1:12">
      <c r="A21">
        <f>IFERROR(IF(B21="",0,IF(VALUE(LEFT(B21,1))&gt;3,VLOOKUP(VALUE(B21),PROYECCIONES!B:D,3,FALSE),0)),1 + COUNTIF($A$2:A20,"&gt;0"))</f>
        <v>0</v>
      </c>
      <c r="B21" s="52" t="s">
        <v>550</v>
      </c>
      <c r="C21" s="52" t="s">
        <v>551</v>
      </c>
      <c r="D21" s="53">
        <v>0</v>
      </c>
      <c r="E21" s="53">
        <v>10090</v>
      </c>
      <c r="F21" s="53">
        <v>0</v>
      </c>
      <c r="G21" s="53">
        <v>10090</v>
      </c>
    </row>
    <row r="22" spans="1:12">
      <c r="A22">
        <f>IFERROR(IF(B22="",0,IF(VALUE(LEFT(B22,1))&gt;3,VLOOKUP(VALUE(B22),PROYECCIONES!B:D,3,FALSE),0)),1 + COUNTIF($A$2:A21,"&gt;0"))</f>
        <v>0</v>
      </c>
      <c r="B22" s="52" t="s">
        <v>596</v>
      </c>
      <c r="C22" s="52" t="s">
        <v>597</v>
      </c>
      <c r="D22" s="53">
        <v>0</v>
      </c>
      <c r="E22" s="53">
        <v>37911254</v>
      </c>
      <c r="F22" s="53">
        <v>0</v>
      </c>
      <c r="G22" s="53">
        <v>37911254</v>
      </c>
    </row>
    <row r="23" spans="1:12">
      <c r="A23">
        <f>IFERROR(IF(B23="",0,IF(VALUE(LEFT(B23,1))&gt;3,VLOOKUP(VALUE(B23),PROYECCIONES!B:D,3,FALSE),0)),1 + COUNTIF($A$2:A22,"&gt;0"))</f>
        <v>0</v>
      </c>
      <c r="B23" s="52" t="s">
        <v>435</v>
      </c>
      <c r="C23" s="52" t="s">
        <v>436</v>
      </c>
      <c r="D23" s="53">
        <v>3625000</v>
      </c>
      <c r="E23" s="53">
        <v>0</v>
      </c>
      <c r="F23" s="53">
        <v>0</v>
      </c>
      <c r="G23" s="53">
        <v>3625000</v>
      </c>
    </row>
    <row r="24" spans="1:12">
      <c r="A24">
        <f>IFERROR(IF(B24="",0,IF(VALUE(LEFT(B24,1))&gt;3,VLOOKUP(VALUE(B24),PROYECCIONES!B:D,3,FALSE),0)),1 + COUNTIF($A$2:A23,"&gt;0"))</f>
        <v>0</v>
      </c>
      <c r="B24" s="52" t="s">
        <v>377</v>
      </c>
      <c r="C24" s="52" t="s">
        <v>373</v>
      </c>
      <c r="D24" s="53">
        <v>4742306</v>
      </c>
      <c r="E24" s="53">
        <v>2450470</v>
      </c>
      <c r="F24" s="53">
        <v>4779000</v>
      </c>
      <c r="G24" s="53">
        <v>2413776</v>
      </c>
    </row>
    <row r="25" spans="1:12">
      <c r="A25">
        <f>IFERROR(IF(B25="",0,IF(VALUE(LEFT(B25,1))&gt;3,VLOOKUP(VALUE(B25),PROYECCIONES!B:D,3,FALSE),0)),1 + COUNTIF($A$2:A24,"&gt;0"))</f>
        <v>0</v>
      </c>
      <c r="B25" s="52" t="s">
        <v>360</v>
      </c>
      <c r="C25" s="52" t="s">
        <v>361</v>
      </c>
      <c r="D25" s="53">
        <v>2530000</v>
      </c>
      <c r="E25" s="53">
        <v>1135200</v>
      </c>
      <c r="F25" s="53">
        <v>2530000</v>
      </c>
      <c r="G25" s="53">
        <v>1135200</v>
      </c>
    </row>
    <row r="26" spans="1:12">
      <c r="A26">
        <f>IFERROR(IF(B26="",0,IF(VALUE(LEFT(B26,1))&gt;3,VLOOKUP(VALUE(B26),PROYECCIONES!B:D,3,FALSE),0)),1 + COUNTIF($A$2:A25,"&gt;0"))</f>
        <v>0</v>
      </c>
      <c r="B26" s="52" t="s">
        <v>282</v>
      </c>
      <c r="C26" s="52" t="s">
        <v>234</v>
      </c>
      <c r="D26" s="53">
        <v>43467544</v>
      </c>
      <c r="E26" s="53">
        <v>0</v>
      </c>
      <c r="F26" s="53">
        <v>0</v>
      </c>
      <c r="G26" s="53">
        <v>43467544</v>
      </c>
    </row>
    <row r="27" spans="1:12">
      <c r="A27">
        <f>IFERROR(IF(B27="",0,IF(VALUE(LEFT(B27,1))&gt;3,VLOOKUP(VALUE(B27),PROYECCIONES!B:D,3,FALSE),0)),1 + COUNTIF($A$2:A26,"&gt;0"))</f>
        <v>0</v>
      </c>
      <c r="B27" s="52" t="s">
        <v>471</v>
      </c>
      <c r="C27" s="52" t="s">
        <v>472</v>
      </c>
      <c r="D27" s="53">
        <v>0</v>
      </c>
      <c r="E27" s="53">
        <v>181000</v>
      </c>
      <c r="F27" s="53">
        <v>181000</v>
      </c>
      <c r="G27" s="53">
        <v>0</v>
      </c>
    </row>
    <row r="28" spans="1:12">
      <c r="A28">
        <f>IFERROR(IF(B28="",0,IF(VALUE(LEFT(B28,1))&gt;3,VLOOKUP(VALUE(B28),PROYECCIONES!B:D,3,FALSE),0)),1 + COUNTIF($A$2:A27,"&gt;0"))</f>
        <v>0</v>
      </c>
      <c r="B28" s="52" t="s">
        <v>283</v>
      </c>
      <c r="C28" s="52" t="s">
        <v>235</v>
      </c>
      <c r="D28" s="53">
        <v>31548323.850000001</v>
      </c>
      <c r="E28" s="53">
        <v>760300</v>
      </c>
      <c r="F28" s="53">
        <v>2760300</v>
      </c>
      <c r="G28" s="53">
        <v>29548323.850000001</v>
      </c>
    </row>
    <row r="29" spans="1:12">
      <c r="A29">
        <f>IFERROR(IF(B29="",0,IF(VALUE(LEFT(B29,1))&gt;3,VLOOKUP(VALUE(B29),PROYECCIONES!B:D,3,FALSE),0)),1 + COUNTIF($A$2:A28,"&gt;0"))</f>
        <v>0</v>
      </c>
      <c r="B29" s="52" t="s">
        <v>378</v>
      </c>
      <c r="C29" s="52" t="s">
        <v>379</v>
      </c>
      <c r="D29" s="53">
        <v>900000</v>
      </c>
      <c r="E29" s="53">
        <v>27000000</v>
      </c>
      <c r="F29" s="53">
        <v>300000</v>
      </c>
      <c r="G29" s="53">
        <v>27600000</v>
      </c>
    </row>
    <row r="30" spans="1:12">
      <c r="A30">
        <f>IFERROR(IF(B30="",0,IF(VALUE(LEFT(B30,1))&gt;3,VLOOKUP(VALUE(B30),PROYECCIONES!B:D,3,FALSE),0)),1 + COUNTIF($A$2:A29,"&gt;0"))</f>
        <v>0</v>
      </c>
      <c r="B30" s="52" t="s">
        <v>284</v>
      </c>
      <c r="C30" s="52" t="s">
        <v>236</v>
      </c>
      <c r="D30" s="53">
        <v>50000</v>
      </c>
      <c r="E30" s="53">
        <v>231422.34</v>
      </c>
      <c r="F30" s="53">
        <v>96950</v>
      </c>
      <c r="G30" s="53">
        <v>184472.34</v>
      </c>
    </row>
    <row r="31" spans="1:12">
      <c r="A31">
        <f>IFERROR(IF(B31="",0,IF(VALUE(LEFT(B31,1))&gt;3,VLOOKUP(VALUE(B31),PROYECCIONES!B:D,3,FALSE),0)),1 + COUNTIF($A$2:A30,"&gt;0"))</f>
        <v>0</v>
      </c>
      <c r="B31" s="52" t="s">
        <v>285</v>
      </c>
      <c r="C31" s="52" t="s">
        <v>237</v>
      </c>
      <c r="D31" s="53">
        <v>18023845.800000001</v>
      </c>
      <c r="E31" s="53">
        <v>2064706</v>
      </c>
      <c r="F31" s="53">
        <v>0</v>
      </c>
      <c r="G31" s="53">
        <v>20088551.800000001</v>
      </c>
    </row>
    <row r="32" spans="1:12">
      <c r="A32">
        <f>IFERROR(IF(B32="",0,IF(VALUE(LEFT(B32,1))&gt;3,VLOOKUP(VALUE(B32),PROYECCIONES!B:D,3,FALSE),0)),1 + COUNTIF($A$2:A31,"&gt;0"))</f>
        <v>0</v>
      </c>
      <c r="B32" s="52" t="s">
        <v>536</v>
      </c>
      <c r="C32" s="52" t="s">
        <v>537</v>
      </c>
      <c r="D32" s="53">
        <v>0</v>
      </c>
      <c r="E32" s="53">
        <v>8200000</v>
      </c>
      <c r="F32" s="53">
        <v>0</v>
      </c>
      <c r="G32" s="53">
        <v>8200000</v>
      </c>
    </row>
    <row r="33" spans="1:7">
      <c r="A33">
        <f>IFERROR(IF(B33="",0,IF(VALUE(LEFT(B33,1))&gt;3,VLOOKUP(VALUE(B33),PROYECCIONES!B:D,3,FALSE),0)),1 + COUNTIF($A$2:A32,"&gt;0"))</f>
        <v>0</v>
      </c>
      <c r="B33" s="52" t="s">
        <v>286</v>
      </c>
      <c r="C33" s="52" t="s">
        <v>238</v>
      </c>
      <c r="D33" s="53">
        <v>61490000</v>
      </c>
      <c r="E33" s="53">
        <v>0</v>
      </c>
      <c r="F33" s="53">
        <v>0</v>
      </c>
      <c r="G33" s="53">
        <v>61490000</v>
      </c>
    </row>
    <row r="34" spans="1:7">
      <c r="A34">
        <f>IFERROR(IF(B34="",0,IF(VALUE(LEFT(B34,1))&gt;3,VLOOKUP(VALUE(B34),PROYECCIONES!B:D,3,FALSE),0)),1 + COUNTIF($A$2:A33,"&gt;0"))</f>
        <v>0</v>
      </c>
      <c r="B34" s="52" t="s">
        <v>287</v>
      </c>
      <c r="C34" s="52" t="s">
        <v>239</v>
      </c>
      <c r="D34" s="53">
        <v>-6028466.0099999998</v>
      </c>
      <c r="E34" s="53">
        <v>0</v>
      </c>
      <c r="F34" s="53">
        <v>1058191.3999999999</v>
      </c>
      <c r="G34" s="53">
        <v>-7086657.4100000001</v>
      </c>
    </row>
    <row r="35" spans="1:7">
      <c r="A35">
        <f>IFERROR(IF(B35="",0,IF(VALUE(LEFT(B35,1))&gt;3,VLOOKUP(VALUE(B35),PROYECCIONES!B:D,3,FALSE),0)),1 + COUNTIF($A$2:A34,"&gt;0"))</f>
        <v>0</v>
      </c>
      <c r="B35" s="52" t="s">
        <v>600</v>
      </c>
      <c r="C35" s="52" t="s">
        <v>601</v>
      </c>
      <c r="D35" s="53">
        <v>2.3283064365386999E-10</v>
      </c>
      <c r="E35" s="53">
        <v>0</v>
      </c>
      <c r="F35" s="53">
        <v>136666.67000000001</v>
      </c>
      <c r="G35" s="53">
        <v>-136666.67000000001</v>
      </c>
    </row>
    <row r="36" spans="1:7">
      <c r="A36">
        <f>IFERROR(IF(B36="",0,IF(VALUE(LEFT(B36,1))&gt;3,VLOOKUP(VALUE(B36),PROYECCIONES!B:D,3,FALSE),0)),1 + COUNTIF($A$2:A35,"&gt;0"))</f>
        <v>0</v>
      </c>
      <c r="B36" s="52" t="s">
        <v>288</v>
      </c>
      <c r="C36" s="52" t="s">
        <v>240</v>
      </c>
      <c r="D36" s="53">
        <v>-1588491.73</v>
      </c>
      <c r="E36" s="53">
        <v>0</v>
      </c>
      <c r="F36" s="53">
        <v>2562083.35</v>
      </c>
      <c r="G36" s="53">
        <v>-4150575.08</v>
      </c>
    </row>
    <row r="37" spans="1:7">
      <c r="A37">
        <f>IFERROR(IF(B37="",0,IF(VALUE(LEFT(B37,1))&gt;3,VLOOKUP(VALUE(B37),PROYECCIONES!B:D,3,FALSE),0)),1 + COUNTIF($A$2:A36,"&gt;0"))</f>
        <v>0</v>
      </c>
      <c r="B37" s="52" t="s">
        <v>289</v>
      </c>
      <c r="C37" s="52" t="s">
        <v>241</v>
      </c>
      <c r="D37" s="53">
        <v>880262</v>
      </c>
      <c r="E37" s="53">
        <v>0</v>
      </c>
      <c r="F37" s="53">
        <v>0</v>
      </c>
      <c r="G37" s="53">
        <v>880262</v>
      </c>
    </row>
    <row r="38" spans="1:7">
      <c r="A38">
        <f>IFERROR(IF(B38="",0,IF(VALUE(LEFT(B38,1))&gt;3,VLOOKUP(VALUE(B38),PROYECCIONES!B:D,3,FALSE),0)),1 + COUNTIF($A$2:A37,"&gt;0"))</f>
        <v>0</v>
      </c>
      <c r="B38" s="52" t="s">
        <v>290</v>
      </c>
      <c r="C38" s="52" t="s">
        <v>242</v>
      </c>
      <c r="D38" s="53">
        <v>-880262</v>
      </c>
      <c r="E38" s="53">
        <v>0</v>
      </c>
      <c r="F38" s="53">
        <v>0</v>
      </c>
      <c r="G38" s="53">
        <v>-880262</v>
      </c>
    </row>
    <row r="39" spans="1:7">
      <c r="A39">
        <f>IFERROR(IF(B39="",0,IF(VALUE(LEFT(B39,1))&gt;3,VLOOKUP(VALUE(B39),PROYECCIONES!B:D,3,FALSE),0)),1 + COUNTIF($A$2:A38,"&gt;0"))</f>
        <v>0</v>
      </c>
      <c r="B39" s="52" t="s">
        <v>473</v>
      </c>
      <c r="C39" s="52" t="s">
        <v>474</v>
      </c>
      <c r="D39" s="53">
        <v>1653107</v>
      </c>
      <c r="E39" s="53">
        <v>0</v>
      </c>
      <c r="F39" s="53">
        <v>1653107</v>
      </c>
      <c r="G39" s="53">
        <v>0</v>
      </c>
    </row>
    <row r="40" spans="1:7">
      <c r="A40">
        <f>IFERROR(IF(B40="",0,IF(VALUE(LEFT(B40,1))&gt;3,VLOOKUP(VALUE(B40),PROYECCIONES!B:D,3,FALSE),0)),1 + COUNTIF($A$2:A39,"&gt;0"))</f>
        <v>0</v>
      </c>
      <c r="B40" s="52" t="s">
        <v>520</v>
      </c>
      <c r="C40" s="52" t="s">
        <v>229</v>
      </c>
      <c r="D40" s="53">
        <v>0</v>
      </c>
      <c r="E40" s="53">
        <v>2678044.4</v>
      </c>
      <c r="F40" s="53">
        <v>1713260.72</v>
      </c>
      <c r="G40" s="53">
        <v>964783.68</v>
      </c>
    </row>
    <row r="41" spans="1:7">
      <c r="A41">
        <f>IFERROR(IF(B41="",0,IF(VALUE(LEFT(B41,1))&gt;3,VLOOKUP(VALUE(B41),PROYECCIONES!B:D,3,FALSE),0)),1 + COUNTIF($A$2:A40,"&gt;0"))</f>
        <v>0</v>
      </c>
      <c r="B41" s="52" t="s">
        <v>380</v>
      </c>
      <c r="C41" s="52" t="s">
        <v>374</v>
      </c>
      <c r="D41" s="53">
        <v>-87720410.230000004</v>
      </c>
      <c r="E41" s="53">
        <v>3014680</v>
      </c>
      <c r="F41" s="53">
        <v>30270777.77</v>
      </c>
      <c r="G41" s="53">
        <v>-114976508</v>
      </c>
    </row>
    <row r="42" spans="1:7">
      <c r="A42">
        <f>IFERROR(IF(B42="",0,IF(VALUE(LEFT(B42,1))&gt;3,VLOOKUP(VALUE(B42),PROYECCIONES!B:D,3,FALSE),0)),1 + COUNTIF($A$2:A41,"&gt;0"))</f>
        <v>0</v>
      </c>
      <c r="B42" s="52" t="s">
        <v>552</v>
      </c>
      <c r="C42" s="52" t="s">
        <v>553</v>
      </c>
      <c r="D42" s="53">
        <v>0</v>
      </c>
      <c r="E42" s="53">
        <v>1223048</v>
      </c>
      <c r="F42" s="53">
        <v>1223048</v>
      </c>
      <c r="G42" s="53">
        <v>0</v>
      </c>
    </row>
    <row r="43" spans="1:7">
      <c r="A43">
        <f>IFERROR(IF(B43="",0,IF(VALUE(LEFT(B43,1))&gt;3,VLOOKUP(VALUE(B43),PROYECCIONES!B:D,3,FALSE),0)),1 + COUNTIF($A$2:A42,"&gt;0"))</f>
        <v>0</v>
      </c>
      <c r="B43" s="52" t="s">
        <v>458</v>
      </c>
      <c r="C43" s="52" t="s">
        <v>459</v>
      </c>
      <c r="D43" s="53">
        <v>4.65661287307739E-10</v>
      </c>
      <c r="E43" s="53">
        <v>2312905</v>
      </c>
      <c r="F43" s="53">
        <v>2312905</v>
      </c>
      <c r="G43" s="53">
        <v>0</v>
      </c>
    </row>
    <row r="44" spans="1:7">
      <c r="A44">
        <f>IFERROR(IF(B44="",0,IF(VALUE(LEFT(B44,1))&gt;3,VLOOKUP(VALUE(B44),PROYECCIONES!B:D,3,FALSE),0)),1 + COUNTIF($A$2:A43,"&gt;0"))</f>
        <v>0</v>
      </c>
      <c r="B44" s="52" t="s">
        <v>291</v>
      </c>
      <c r="C44" s="52" t="s">
        <v>243</v>
      </c>
      <c r="D44" s="53">
        <v>-427500</v>
      </c>
      <c r="E44" s="53">
        <v>18768500</v>
      </c>
      <c r="F44" s="53">
        <v>18341000</v>
      </c>
      <c r="G44" s="53">
        <v>0</v>
      </c>
    </row>
    <row r="45" spans="1:7">
      <c r="A45">
        <f>IFERROR(IF(B45="",0,IF(VALUE(LEFT(B45,1))&gt;3,VLOOKUP(VALUE(B45),PROYECCIONES!B:D,3,FALSE),0)),1 + COUNTIF($A$2:A44,"&gt;0"))</f>
        <v>0</v>
      </c>
      <c r="B45" s="52" t="s">
        <v>554</v>
      </c>
      <c r="C45" s="52" t="s">
        <v>555</v>
      </c>
      <c r="D45" s="53">
        <v>0</v>
      </c>
      <c r="E45" s="53">
        <v>205097.60000000001</v>
      </c>
      <c r="F45" s="53">
        <v>1344595.2</v>
      </c>
      <c r="G45" s="53">
        <v>-1139497.6000000001</v>
      </c>
    </row>
    <row r="46" spans="1:7">
      <c r="A46">
        <f>IFERROR(IF(B46="",0,IF(VALUE(LEFT(B46,1))&gt;3,VLOOKUP(VALUE(B46),PROYECCIONES!B:D,3,FALSE),0)),1 + COUNTIF($A$2:A45,"&gt;0"))</f>
        <v>0</v>
      </c>
      <c r="B46" s="52" t="s">
        <v>292</v>
      </c>
      <c r="C46" s="52" t="s">
        <v>244</v>
      </c>
      <c r="D46" s="53">
        <v>0</v>
      </c>
      <c r="E46" s="53">
        <v>150000</v>
      </c>
      <c r="F46" s="53">
        <v>150000</v>
      </c>
      <c r="G46" s="53">
        <v>0</v>
      </c>
    </row>
    <row r="47" spans="1:7">
      <c r="A47">
        <f>IFERROR(IF(B47="",0,IF(VALUE(LEFT(B47,1))&gt;3,VLOOKUP(VALUE(B47),PROYECCIONES!B:D,3,FALSE),0)),1 + COUNTIF($A$2:A46,"&gt;0"))</f>
        <v>0</v>
      </c>
      <c r="B47" s="52" t="s">
        <v>293</v>
      </c>
      <c r="C47" s="52" t="s">
        <v>245</v>
      </c>
      <c r="D47" s="53">
        <v>0</v>
      </c>
      <c r="E47" s="53">
        <v>7496746</v>
      </c>
      <c r="F47" s="53">
        <v>7496746</v>
      </c>
      <c r="G47" s="53">
        <v>0</v>
      </c>
    </row>
    <row r="48" spans="1:7">
      <c r="A48">
        <f>IFERROR(IF(B48="",0,IF(VALUE(LEFT(B48,1))&gt;3,VLOOKUP(VALUE(B48),PROYECCIONES!B:D,3,FALSE),0)),1 + COUNTIF($A$2:A47,"&gt;0"))</f>
        <v>0</v>
      </c>
      <c r="B48" s="52" t="s">
        <v>294</v>
      </c>
      <c r="C48" s="52" t="s">
        <v>246</v>
      </c>
      <c r="D48" s="53">
        <v>-259026</v>
      </c>
      <c r="E48" s="53">
        <v>3753249.01</v>
      </c>
      <c r="F48" s="53">
        <v>3842030.01</v>
      </c>
      <c r="G48" s="53">
        <v>-347807</v>
      </c>
    </row>
    <row r="49" spans="1:7">
      <c r="A49">
        <f>IFERROR(IF(B49="",0,IF(VALUE(LEFT(B49,1))&gt;3,VLOOKUP(VALUE(B49),PROYECCIONES!B:D,3,FALSE),0)),1 + COUNTIF($A$2:A48,"&gt;0"))</f>
        <v>0</v>
      </c>
      <c r="B49" s="52" t="s">
        <v>556</v>
      </c>
      <c r="C49" s="52" t="s">
        <v>557</v>
      </c>
      <c r="D49" s="53">
        <v>0</v>
      </c>
      <c r="E49" s="53">
        <v>100000</v>
      </c>
      <c r="F49" s="53">
        <v>100000</v>
      </c>
      <c r="G49" s="53">
        <v>0</v>
      </c>
    </row>
    <row r="50" spans="1:7">
      <c r="A50">
        <f>IFERROR(IF(B50="",0,IF(VALUE(LEFT(B50,1))&gt;3,VLOOKUP(VALUE(B50),PROYECCIONES!B:D,3,FALSE),0)),1 + COUNTIF($A$2:A49,"&gt;0"))</f>
        <v>0</v>
      </c>
      <c r="B50" s="52" t="s">
        <v>460</v>
      </c>
      <c r="C50" s="52" t="s">
        <v>461</v>
      </c>
      <c r="D50" s="53">
        <v>0</v>
      </c>
      <c r="E50" s="53">
        <v>6143529.4199999999</v>
      </c>
      <c r="F50" s="53">
        <v>6247899.4199999999</v>
      </c>
      <c r="G50" s="53">
        <v>-104370</v>
      </c>
    </row>
    <row r="51" spans="1:7">
      <c r="A51">
        <f>IFERROR(IF(B51="",0,IF(VALUE(LEFT(B51,1))&gt;3,VLOOKUP(VALUE(B51),PROYECCIONES!B:D,3,FALSE),0)),1 + COUNTIF($A$2:A50,"&gt;0"))</f>
        <v>0</v>
      </c>
      <c r="B51" s="52" t="s">
        <v>407</v>
      </c>
      <c r="C51" s="52" t="s">
        <v>408</v>
      </c>
      <c r="D51" s="53">
        <v>0</v>
      </c>
      <c r="E51" s="53">
        <v>1102439</v>
      </c>
      <c r="F51" s="53">
        <v>1102439</v>
      </c>
      <c r="G51" s="53">
        <v>0</v>
      </c>
    </row>
    <row r="52" spans="1:7">
      <c r="A52">
        <f>IFERROR(IF(B52="",0,IF(VALUE(LEFT(B52,1))&gt;3,VLOOKUP(VALUE(B52),PROYECCIONES!B:D,3,FALSE),0)),1 + COUNTIF($A$2:A51,"&gt;0"))</f>
        <v>0</v>
      </c>
      <c r="B52" s="52" t="s">
        <v>410</v>
      </c>
      <c r="C52" s="52" t="s">
        <v>411</v>
      </c>
      <c r="D52" s="53">
        <v>0</v>
      </c>
      <c r="E52" s="53">
        <v>115242</v>
      </c>
      <c r="F52" s="53">
        <v>115242</v>
      </c>
      <c r="G52" s="53">
        <v>0</v>
      </c>
    </row>
    <row r="53" spans="1:7">
      <c r="A53">
        <f>IFERROR(IF(B53="",0,IF(VALUE(LEFT(B53,1))&gt;3,VLOOKUP(VALUE(B53),PROYECCIONES!B:D,3,FALSE),0)),1 + COUNTIF($A$2:A52,"&gt;0"))</f>
        <v>0</v>
      </c>
      <c r="B53" s="52" t="s">
        <v>295</v>
      </c>
      <c r="C53" s="52" t="s">
        <v>247</v>
      </c>
      <c r="D53" s="53">
        <v>0</v>
      </c>
      <c r="E53" s="53">
        <v>9797179.7599999998</v>
      </c>
      <c r="F53" s="53">
        <v>11760090.48</v>
      </c>
      <c r="G53" s="53">
        <v>-1962910.72</v>
      </c>
    </row>
    <row r="54" spans="1:7">
      <c r="A54">
        <f>IFERROR(IF(B54="",0,IF(VALUE(LEFT(B54,1))&gt;3,VLOOKUP(VALUE(B54),PROYECCIONES!B:D,3,FALSE),0)),1 + COUNTIF($A$2:A53,"&gt;0"))</f>
        <v>0</v>
      </c>
      <c r="B54" s="52" t="s">
        <v>558</v>
      </c>
      <c r="C54" s="52" t="s">
        <v>559</v>
      </c>
      <c r="D54" s="53">
        <v>0</v>
      </c>
      <c r="E54" s="53">
        <v>0</v>
      </c>
      <c r="F54" s="53">
        <v>12802400</v>
      </c>
      <c r="G54" s="53">
        <v>-12802400</v>
      </c>
    </row>
    <row r="55" spans="1:7">
      <c r="A55">
        <f>IFERROR(IF(B55="",0,IF(VALUE(LEFT(B55,1))&gt;3,VLOOKUP(VALUE(B55),PROYECCIONES!B:D,3,FALSE),0)),1 + COUNTIF($A$2:A54,"&gt;0"))</f>
        <v>0</v>
      </c>
      <c r="B55" s="52" t="s">
        <v>86</v>
      </c>
      <c r="C55" s="52" t="s">
        <v>248</v>
      </c>
      <c r="D55" s="53">
        <v>-118268.9</v>
      </c>
      <c r="E55" s="53">
        <v>385350.94</v>
      </c>
      <c r="F55" s="53">
        <v>328258.51</v>
      </c>
      <c r="G55" s="53">
        <v>-61176.469999999703</v>
      </c>
    </row>
    <row r="56" spans="1:7">
      <c r="A56">
        <f>IFERROR(IF(B56="",0,IF(VALUE(LEFT(B56,1))&gt;3,VLOOKUP(VALUE(B56),PROYECCIONES!B:D,3,FALSE),0)),1 + COUNTIF($A$2:A55,"&gt;0"))</f>
        <v>0</v>
      </c>
      <c r="B56" s="52" t="s">
        <v>538</v>
      </c>
      <c r="C56" s="52" t="s">
        <v>539</v>
      </c>
      <c r="D56" s="53">
        <v>0</v>
      </c>
      <c r="E56" s="53">
        <v>6148.68</v>
      </c>
      <c r="F56" s="53">
        <v>6148.68</v>
      </c>
      <c r="G56" s="53">
        <v>0</v>
      </c>
    </row>
    <row r="57" spans="1:7">
      <c r="A57">
        <f>IFERROR(IF(B57="",0,IF(VALUE(LEFT(B57,1))&gt;3,VLOOKUP(VALUE(B57),PROYECCIONES!B:D,3,FALSE),0)),1 + COUNTIF($A$2:A56,"&gt;0"))</f>
        <v>0</v>
      </c>
      <c r="B57" s="52" t="s">
        <v>87</v>
      </c>
      <c r="C57" s="52" t="s">
        <v>483</v>
      </c>
      <c r="D57" s="53">
        <v>0</v>
      </c>
      <c r="E57" s="53">
        <v>21600</v>
      </c>
      <c r="F57" s="53">
        <v>21600</v>
      </c>
      <c r="G57" s="53">
        <v>0</v>
      </c>
    </row>
    <row r="58" spans="1:7">
      <c r="A58">
        <f>IFERROR(IF(B58="",0,IF(VALUE(LEFT(B58,1))&gt;3,VLOOKUP(VALUE(B58),PROYECCIONES!B:D,3,FALSE),0)),1 + COUNTIF($A$2:A57,"&gt;0"))</f>
        <v>0</v>
      </c>
      <c r="B58" s="52" t="s">
        <v>362</v>
      </c>
      <c r="C58" s="52" t="s">
        <v>592</v>
      </c>
      <c r="D58" s="53">
        <v>-20300</v>
      </c>
      <c r="E58" s="53">
        <v>20300</v>
      </c>
      <c r="F58" s="53">
        <v>42490</v>
      </c>
      <c r="G58" s="53">
        <v>-42490</v>
      </c>
    </row>
    <row r="59" spans="1:7">
      <c r="A59">
        <f>IFERROR(IF(B59="",0,IF(VALUE(LEFT(B59,1))&gt;3,VLOOKUP(VALUE(B59),PROYECCIONES!B:D,3,FALSE),0)),1 + COUNTIF($A$2:A58,"&gt;0"))</f>
        <v>0</v>
      </c>
      <c r="B59" s="52" t="s">
        <v>88</v>
      </c>
      <c r="C59" s="52" t="s">
        <v>585</v>
      </c>
      <c r="D59" s="53">
        <v>-74424.880000000107</v>
      </c>
      <c r="E59" s="53">
        <v>74424.59</v>
      </c>
      <c r="F59" s="53">
        <v>0</v>
      </c>
      <c r="G59" s="53">
        <v>-0.29000000003725301</v>
      </c>
    </row>
    <row r="60" spans="1:7">
      <c r="A60">
        <f>IFERROR(IF(B60="",0,IF(VALUE(LEFT(B60,1))&gt;3,VLOOKUP(VALUE(B60),PROYECCIONES!B:D,3,FALSE),0)),1 + COUNTIF($A$2:A59,"&gt;0"))</f>
        <v>0</v>
      </c>
      <c r="B60" s="52" t="s">
        <v>413</v>
      </c>
      <c r="C60" s="52" t="s">
        <v>586</v>
      </c>
      <c r="D60" s="53">
        <v>0</v>
      </c>
      <c r="E60" s="53">
        <v>315001.96999999997</v>
      </c>
      <c r="F60" s="53">
        <v>315001.96999999997</v>
      </c>
      <c r="G60" s="53">
        <v>0</v>
      </c>
    </row>
    <row r="61" spans="1:7">
      <c r="A61">
        <f>IFERROR(IF(B61="",0,IF(VALUE(LEFT(B61,1))&gt;3,VLOOKUP(VALUE(B61),PROYECCIONES!B:D,3,FALSE),0)),1 + COUNTIF($A$2:A60,"&gt;0"))</f>
        <v>0</v>
      </c>
      <c r="B61" s="52" t="s">
        <v>296</v>
      </c>
      <c r="C61" s="52" t="s">
        <v>249</v>
      </c>
      <c r="D61" s="53">
        <v>-83618</v>
      </c>
      <c r="E61" s="53">
        <v>258866</v>
      </c>
      <c r="F61" s="53">
        <v>221063</v>
      </c>
      <c r="G61" s="53">
        <v>-45815</v>
      </c>
    </row>
    <row r="62" spans="1:7">
      <c r="A62">
        <f>IFERROR(IF(B62="",0,IF(VALUE(LEFT(B62,1))&gt;3,VLOOKUP(VALUE(B62),PROYECCIONES!B:D,3,FALSE),0)),1 + COUNTIF($A$2:A61,"&gt;0"))</f>
        <v>0</v>
      </c>
      <c r="B62" s="52" t="s">
        <v>462</v>
      </c>
      <c r="C62" s="52" t="s">
        <v>463</v>
      </c>
      <c r="D62" s="53">
        <v>0</v>
      </c>
      <c r="E62" s="53">
        <v>82104.5</v>
      </c>
      <c r="F62" s="53">
        <v>146774.5</v>
      </c>
      <c r="G62" s="53">
        <v>-64670</v>
      </c>
    </row>
    <row r="63" spans="1:7">
      <c r="A63">
        <f>IFERROR(IF(B63="",0,IF(VALUE(LEFT(B63,1))&gt;3,VLOOKUP(VALUE(B63),PROYECCIONES!B:D,3,FALSE),0)),1 + COUNTIF($A$2:A62,"&gt;0"))</f>
        <v>0</v>
      </c>
      <c r="B63" s="52" t="s">
        <v>297</v>
      </c>
      <c r="C63" s="52" t="s">
        <v>250</v>
      </c>
      <c r="D63" s="53">
        <v>-1027152</v>
      </c>
      <c r="E63" s="53">
        <v>2955521</v>
      </c>
      <c r="F63" s="53">
        <v>2450470</v>
      </c>
      <c r="G63" s="53">
        <v>-522101</v>
      </c>
    </row>
    <row r="64" spans="1:7">
      <c r="A64">
        <f>IFERROR(IF(B64="",0,IF(VALUE(LEFT(B64,1))&gt;3,VLOOKUP(VALUE(B64),PROYECCIONES!B:D,3,FALSE),0)),1 + COUNTIF($A$2:A63,"&gt;0"))</f>
        <v>0</v>
      </c>
      <c r="B64" s="52" t="s">
        <v>363</v>
      </c>
      <c r="C64" s="52" t="s">
        <v>437</v>
      </c>
      <c r="D64" s="53">
        <v>-440000</v>
      </c>
      <c r="E64" s="53">
        <v>1320000</v>
      </c>
      <c r="F64" s="53">
        <v>1135200</v>
      </c>
      <c r="G64" s="53">
        <v>-255200</v>
      </c>
    </row>
    <row r="65" spans="1:7">
      <c r="A65">
        <f>IFERROR(IF(B65="",0,IF(VALUE(LEFT(B65,1))&gt;3,VLOOKUP(VALUE(B65),PROYECCIONES!B:D,3,FALSE),0)),1 + COUNTIF($A$2:A64,"&gt;0"))</f>
        <v>0</v>
      </c>
      <c r="B65" s="52" t="s">
        <v>438</v>
      </c>
      <c r="C65" s="52" t="s">
        <v>439</v>
      </c>
      <c r="D65" s="53">
        <v>0</v>
      </c>
      <c r="E65" s="53">
        <v>270750</v>
      </c>
      <c r="F65" s="53">
        <v>399000</v>
      </c>
      <c r="G65" s="53">
        <v>-128250</v>
      </c>
    </row>
    <row r="66" spans="1:7">
      <c r="A66">
        <f>IFERROR(IF(B66="",0,IF(VALUE(LEFT(B66,1))&gt;3,VLOOKUP(VALUE(B66),PROYECCIONES!B:D,3,FALSE),0)),1 + COUNTIF($A$2:A65,"&gt;0"))</f>
        <v>0</v>
      </c>
      <c r="B66" s="52" t="s">
        <v>381</v>
      </c>
      <c r="C66" s="52" t="s">
        <v>382</v>
      </c>
      <c r="D66" s="53">
        <v>0</v>
      </c>
      <c r="E66" s="53">
        <v>299253.75</v>
      </c>
      <c r="F66" s="53">
        <v>299253.75</v>
      </c>
      <c r="G66" s="53">
        <v>0</v>
      </c>
    </row>
    <row r="67" spans="1:7">
      <c r="A67">
        <f>IFERROR(IF(B67="",0,IF(VALUE(LEFT(B67,1))&gt;3,VLOOKUP(VALUE(B67),PROYECCIONES!B:D,3,FALSE),0)),1 + COUNTIF($A$2:A66,"&gt;0"))</f>
        <v>0</v>
      </c>
      <c r="B67" s="52" t="s">
        <v>298</v>
      </c>
      <c r="C67" s="52" t="s">
        <v>251</v>
      </c>
      <c r="D67" s="53">
        <v>-53457.23</v>
      </c>
      <c r="E67" s="53">
        <v>91954.71</v>
      </c>
      <c r="F67" s="53">
        <v>121487.23</v>
      </c>
      <c r="G67" s="53">
        <v>-82989.75</v>
      </c>
    </row>
    <row r="68" spans="1:7">
      <c r="A68">
        <f>IFERROR(IF(B68="",0,IF(VALUE(LEFT(B68,1))&gt;3,VLOOKUP(VALUE(B68),PROYECCIONES!B:D,3,FALSE),0)),1 + COUNTIF($A$2:A67,"&gt;0"))</f>
        <v>0</v>
      </c>
      <c r="B68" s="52" t="s">
        <v>383</v>
      </c>
      <c r="C68" s="52" t="s">
        <v>375</v>
      </c>
      <c r="D68" s="53">
        <v>0</v>
      </c>
      <c r="E68" s="53">
        <v>10337.799999999999</v>
      </c>
      <c r="F68" s="53">
        <v>10337.799999999999</v>
      </c>
      <c r="G68" s="53">
        <v>0</v>
      </c>
    </row>
    <row r="69" spans="1:7">
      <c r="A69">
        <f>IFERROR(IF(B69="",0,IF(VALUE(LEFT(B69,1))&gt;3,VLOOKUP(VALUE(B69),PROYECCIONES!B:D,3,FALSE),0)),1 + COUNTIF($A$2:A68,"&gt;0"))</f>
        <v>0</v>
      </c>
      <c r="B69" s="52" t="s">
        <v>364</v>
      </c>
      <c r="C69" s="52" t="s">
        <v>365</v>
      </c>
      <c r="D69" s="53">
        <v>-3828</v>
      </c>
      <c r="E69" s="53">
        <v>0</v>
      </c>
      <c r="F69" s="53">
        <v>25085.279999999999</v>
      </c>
      <c r="G69" s="53">
        <v>-28913.279999999999</v>
      </c>
    </row>
    <row r="70" spans="1:7">
      <c r="A70">
        <f>IFERROR(IF(B70="",0,IF(VALUE(LEFT(B70,1))&gt;3,VLOOKUP(VALUE(B70),PROYECCIONES!B:D,3,FALSE),0)),1 + COUNTIF($A$2:A69,"&gt;0"))</f>
        <v>0</v>
      </c>
      <c r="B70" s="52" t="s">
        <v>464</v>
      </c>
      <c r="C70" s="52" t="s">
        <v>465</v>
      </c>
      <c r="D70" s="53">
        <v>0</v>
      </c>
      <c r="E70" s="53">
        <v>15957.65</v>
      </c>
      <c r="F70" s="53">
        <v>15957.65</v>
      </c>
      <c r="G70" s="53">
        <v>0</v>
      </c>
    </row>
    <row r="71" spans="1:7">
      <c r="A71">
        <f>IFERROR(IF(B71="",0,IF(VALUE(LEFT(B71,1))&gt;3,VLOOKUP(VALUE(B71),PROYECCIONES!B:D,3,FALSE),0)),1 + COUNTIF($A$2:A70,"&gt;0"))</f>
        <v>0</v>
      </c>
      <c r="B71" s="52" t="s">
        <v>299</v>
      </c>
      <c r="C71" s="52" t="s">
        <v>252</v>
      </c>
      <c r="D71" s="53">
        <v>-803998</v>
      </c>
      <c r="E71" s="53">
        <v>2954300</v>
      </c>
      <c r="F71" s="53">
        <v>2921001</v>
      </c>
      <c r="G71" s="53">
        <v>-770699</v>
      </c>
    </row>
    <row r="72" spans="1:7">
      <c r="A72">
        <f>IFERROR(IF(B72="",0,IF(VALUE(LEFT(B72,1))&gt;3,VLOOKUP(VALUE(B72),PROYECCIONES!B:D,3,FALSE),0)),1 + COUNTIF($A$2:A71,"&gt;0"))</f>
        <v>0</v>
      </c>
      <c r="B72" s="52" t="s">
        <v>300</v>
      </c>
      <c r="C72" s="52" t="s">
        <v>253</v>
      </c>
      <c r="D72" s="53">
        <v>-72817</v>
      </c>
      <c r="E72" s="53">
        <v>342222</v>
      </c>
      <c r="F72" s="53">
        <v>397635</v>
      </c>
      <c r="G72" s="53">
        <v>-128230</v>
      </c>
    </row>
    <row r="73" spans="1:7">
      <c r="A73">
        <f>IFERROR(IF(B73="",0,IF(VALUE(LEFT(B73,1))&gt;3,VLOOKUP(VALUE(B73),PROYECCIONES!B:D,3,FALSE),0)),1 + COUNTIF($A$2:A72,"&gt;0"))</f>
        <v>0</v>
      </c>
      <c r="B73" s="52" t="s">
        <v>301</v>
      </c>
      <c r="C73" s="52" t="s">
        <v>254</v>
      </c>
      <c r="D73" s="53">
        <v>-557999</v>
      </c>
      <c r="E73" s="53">
        <v>2954300</v>
      </c>
      <c r="F73" s="53">
        <v>3047000</v>
      </c>
      <c r="G73" s="53">
        <v>-650699</v>
      </c>
    </row>
    <row r="74" spans="1:7">
      <c r="A74">
        <f>IFERROR(IF(B74="",0,IF(VALUE(LEFT(B74,1))&gt;3,VLOOKUP(VALUE(B74),PROYECCIONES!B:D,3,FALSE),0)),1 + COUNTIF($A$2:A73,"&gt;0"))</f>
        <v>0</v>
      </c>
      <c r="B74" s="52" t="s">
        <v>302</v>
      </c>
      <c r="C74" s="52" t="s">
        <v>255</v>
      </c>
      <c r="D74" s="53">
        <v>-5483064</v>
      </c>
      <c r="E74" s="53">
        <v>12122100</v>
      </c>
      <c r="F74" s="53">
        <v>12208001</v>
      </c>
      <c r="G74" s="53">
        <v>-5568965</v>
      </c>
    </row>
    <row r="75" spans="1:7">
      <c r="A75">
        <f>IFERROR(IF(B75="",0,IF(VALUE(LEFT(B75,1))&gt;3,VLOOKUP(VALUE(B75),PROYECCIONES!B:D,3,FALSE),0)),1 + COUNTIF($A$2:A74,"&gt;0"))</f>
        <v>0</v>
      </c>
      <c r="B75" s="52" t="s">
        <v>440</v>
      </c>
      <c r="C75" s="52" t="s">
        <v>441</v>
      </c>
      <c r="D75" s="53">
        <v>-28977138</v>
      </c>
      <c r="E75" s="53">
        <v>28977138</v>
      </c>
      <c r="F75" s="53">
        <v>0</v>
      </c>
      <c r="G75" s="53">
        <v>0</v>
      </c>
    </row>
    <row r="76" spans="1:7">
      <c r="A76">
        <f>IFERROR(IF(B76="",0,IF(VALUE(LEFT(B76,1))&gt;3,VLOOKUP(VALUE(B76),PROYECCIONES!B:D,3,FALSE),0)),1 + COUNTIF($A$2:A75,"&gt;0"))</f>
        <v>0</v>
      </c>
      <c r="B76" s="52" t="s">
        <v>303</v>
      </c>
      <c r="C76" s="52" t="s">
        <v>256</v>
      </c>
      <c r="D76" s="53">
        <v>-3.5762786865234401E-7</v>
      </c>
      <c r="E76" s="53">
        <v>44921114.039999999</v>
      </c>
      <c r="F76" s="53">
        <v>58198754.270000003</v>
      </c>
      <c r="G76" s="53">
        <v>-13277640.230000401</v>
      </c>
    </row>
    <row r="77" spans="1:7">
      <c r="A77">
        <f>IFERROR(IF(B77="",0,IF(VALUE(LEFT(B77,1))&gt;3,VLOOKUP(VALUE(B77),PROYECCIONES!B:D,3,FALSE),0)),1 + COUNTIF($A$2:A76,"&gt;0"))</f>
        <v>0</v>
      </c>
      <c r="B77" s="52" t="s">
        <v>304</v>
      </c>
      <c r="C77" s="52" t="s">
        <v>257</v>
      </c>
      <c r="D77" s="53">
        <v>5.5879354476928703E-9</v>
      </c>
      <c r="E77" s="53">
        <v>3068704.92</v>
      </c>
      <c r="F77" s="53">
        <v>2058340.24</v>
      </c>
      <c r="G77" s="53">
        <v>1010364.68</v>
      </c>
    </row>
    <row r="78" spans="1:7">
      <c r="A78">
        <f>IFERROR(IF(B78="",0,IF(VALUE(LEFT(B78,1))&gt;3,VLOOKUP(VALUE(B78),PROYECCIONES!B:D,3,FALSE),0)),1 + COUNTIF($A$2:A77,"&gt;0"))</f>
        <v>0</v>
      </c>
      <c r="B78" s="52" t="s">
        <v>305</v>
      </c>
      <c r="C78" s="52" t="s">
        <v>258</v>
      </c>
      <c r="D78" s="53">
        <v>7.4505805969238298E-9</v>
      </c>
      <c r="E78" s="53">
        <v>5747549.6100000003</v>
      </c>
      <c r="F78" s="53">
        <v>4005287.99</v>
      </c>
      <c r="G78" s="53">
        <v>1742261.62</v>
      </c>
    </row>
    <row r="79" spans="1:7">
      <c r="A79">
        <f>IFERROR(IF(B79="",0,IF(VALUE(LEFT(B79,1))&gt;3,VLOOKUP(VALUE(B79),PROYECCIONES!B:D,3,FALSE),0)),1 + COUNTIF($A$2:A78,"&gt;0"))</f>
        <v>0</v>
      </c>
      <c r="B79" s="52" t="s">
        <v>384</v>
      </c>
      <c r="C79" s="52" t="s">
        <v>385</v>
      </c>
      <c r="D79" s="53">
        <v>0</v>
      </c>
      <c r="E79" s="53">
        <v>299253.75</v>
      </c>
      <c r="F79" s="53">
        <v>299253.75</v>
      </c>
      <c r="G79" s="53">
        <v>0</v>
      </c>
    </row>
    <row r="80" spans="1:7">
      <c r="A80">
        <f>IFERROR(IF(B80="",0,IF(VALUE(LEFT(B80,1))&gt;3,VLOOKUP(VALUE(B80),PROYECCIONES!B:D,3,FALSE),0)),1 + COUNTIF($A$2:A79,"&gt;0"))</f>
        <v>0</v>
      </c>
      <c r="B80" s="52" t="s">
        <v>475</v>
      </c>
      <c r="C80" s="52" t="s">
        <v>476</v>
      </c>
      <c r="D80" s="53">
        <v>-35410863.340000004</v>
      </c>
      <c r="E80" s="53">
        <v>35410863.340000004</v>
      </c>
      <c r="F80" s="53">
        <v>37230845.060000002</v>
      </c>
      <c r="G80" s="53">
        <v>-37230845.060000002</v>
      </c>
    </row>
    <row r="81" spans="1:7">
      <c r="A81">
        <f>IFERROR(IF(B81="",0,IF(VALUE(LEFT(B81,1))&gt;3,VLOOKUP(VALUE(B81),PROYECCIONES!B:D,3,FALSE),0)),1 + COUNTIF($A$2:A80,"&gt;0"))</f>
        <v>0</v>
      </c>
      <c r="B81" s="52" t="s">
        <v>306</v>
      </c>
      <c r="C81" s="52" t="s">
        <v>89</v>
      </c>
      <c r="D81" s="53">
        <v>-1786000</v>
      </c>
      <c r="E81" s="53">
        <v>97800530</v>
      </c>
      <c r="F81" s="53">
        <v>96014530</v>
      </c>
      <c r="G81" s="53">
        <v>0</v>
      </c>
    </row>
    <row r="82" spans="1:7">
      <c r="A82">
        <f>IFERROR(IF(B82="",0,IF(VALUE(LEFT(B82,1))&gt;3,VLOOKUP(VALUE(B82),PROYECCIONES!B:D,3,FALSE),0)),1 + COUNTIF($A$2:A81,"&gt;0"))</f>
        <v>0</v>
      </c>
      <c r="B82" s="52" t="s">
        <v>307</v>
      </c>
      <c r="C82" s="52" t="s">
        <v>259</v>
      </c>
      <c r="D82" s="53">
        <v>-14595603</v>
      </c>
      <c r="E82" s="53">
        <v>14595603</v>
      </c>
      <c r="F82" s="53">
        <v>0</v>
      </c>
      <c r="G82" s="53">
        <v>0</v>
      </c>
    </row>
    <row r="83" spans="1:7">
      <c r="A83">
        <f>IFERROR(IF(B83="",0,IF(VALUE(LEFT(B83,1))&gt;3,VLOOKUP(VALUE(B83),PROYECCIONES!B:D,3,FALSE),0)),1 + COUNTIF($A$2:A82,"&gt;0"))</f>
        <v>0</v>
      </c>
      <c r="B83" s="52" t="s">
        <v>308</v>
      </c>
      <c r="C83" s="52" t="s">
        <v>260</v>
      </c>
      <c r="D83" s="53">
        <v>-1568734</v>
      </c>
      <c r="E83" s="53">
        <v>1568734</v>
      </c>
      <c r="F83" s="53">
        <v>0</v>
      </c>
      <c r="G83" s="53">
        <v>0</v>
      </c>
    </row>
    <row r="84" spans="1:7">
      <c r="A84">
        <f>IFERROR(IF(B84="",0,IF(VALUE(LEFT(B84,1))&gt;3,VLOOKUP(VALUE(B84),PROYECCIONES!B:D,3,FALSE),0)),1 + COUNTIF($A$2:A83,"&gt;0"))</f>
        <v>0</v>
      </c>
      <c r="B84" s="52" t="s">
        <v>446</v>
      </c>
      <c r="C84" s="52" t="s">
        <v>447</v>
      </c>
      <c r="D84" s="53">
        <v>0</v>
      </c>
      <c r="E84" s="53">
        <v>0</v>
      </c>
      <c r="F84" s="53">
        <v>6578749</v>
      </c>
      <c r="G84" s="53">
        <v>-6578749</v>
      </c>
    </row>
    <row r="85" spans="1:7">
      <c r="A85">
        <f>IFERROR(IF(B85="",0,IF(VALUE(LEFT(B85,1))&gt;3,VLOOKUP(VALUE(B85),PROYECCIONES!B:D,3,FALSE),0)),1 + COUNTIF($A$2:A84,"&gt;0"))</f>
        <v>0</v>
      </c>
      <c r="B85" s="52" t="s">
        <v>448</v>
      </c>
      <c r="C85" s="52" t="s">
        <v>449</v>
      </c>
      <c r="D85" s="53">
        <v>0</v>
      </c>
      <c r="E85" s="53">
        <v>0</v>
      </c>
      <c r="F85" s="53">
        <v>789456</v>
      </c>
      <c r="G85" s="53">
        <v>-789456</v>
      </c>
    </row>
    <row r="86" spans="1:7">
      <c r="A86">
        <f>IFERROR(IF(B86="",0,IF(VALUE(LEFT(B86,1))&gt;3,VLOOKUP(VALUE(B86),PROYECCIONES!B:D,3,FALSE),0)),1 + COUNTIF($A$2:A85,"&gt;0"))</f>
        <v>0</v>
      </c>
      <c r="B86" s="52" t="s">
        <v>450</v>
      </c>
      <c r="C86" s="52" t="s">
        <v>451</v>
      </c>
      <c r="D86" s="53">
        <v>0</v>
      </c>
      <c r="E86" s="53">
        <v>0</v>
      </c>
      <c r="F86" s="53">
        <v>3177091</v>
      </c>
      <c r="G86" s="53">
        <v>-3177091</v>
      </c>
    </row>
    <row r="87" spans="1:7">
      <c r="A87">
        <f>IFERROR(IF(B87="",0,IF(VALUE(LEFT(B87,1))&gt;3,VLOOKUP(VALUE(B87),PROYECCIONES!B:D,3,FALSE),0)),1 + COUNTIF($A$2:A86,"&gt;0"))</f>
        <v>0</v>
      </c>
      <c r="B87" s="52" t="s">
        <v>452</v>
      </c>
      <c r="C87" s="52" t="s">
        <v>453</v>
      </c>
      <c r="D87" s="53">
        <v>0</v>
      </c>
      <c r="E87" s="53">
        <v>0</v>
      </c>
      <c r="F87" s="53">
        <v>6578749</v>
      </c>
      <c r="G87" s="53">
        <v>-6578749</v>
      </c>
    </row>
    <row r="88" spans="1:7">
      <c r="A88">
        <f>IFERROR(IF(B88="",0,IF(VALUE(LEFT(B88,1))&gt;3,VLOOKUP(VALUE(B88),PROYECCIONES!B:D,3,FALSE),0)),1 + COUNTIF($A$2:A87,"&gt;0"))</f>
        <v>0</v>
      </c>
      <c r="B88" s="52" t="s">
        <v>593</v>
      </c>
      <c r="C88" s="52" t="s">
        <v>594</v>
      </c>
      <c r="D88" s="53">
        <v>0</v>
      </c>
      <c r="E88" s="53">
        <v>26977138</v>
      </c>
      <c r="F88" s="53">
        <v>26977138</v>
      </c>
      <c r="G88" s="53">
        <v>0</v>
      </c>
    </row>
    <row r="89" spans="1:7">
      <c r="A89">
        <f>IFERROR(IF(B89="",0,IF(VALUE(LEFT(B89,1))&gt;3,VLOOKUP(VALUE(B89),PROYECCIONES!B:D,3,FALSE),0)),1 + COUNTIF($A$2:A88,"&gt;0"))</f>
        <v>0</v>
      </c>
      <c r="B89" s="52" t="s">
        <v>477</v>
      </c>
      <c r="C89" s="52" t="s">
        <v>478</v>
      </c>
      <c r="D89" s="53">
        <v>-3778917.1</v>
      </c>
      <c r="E89" s="53">
        <v>3778917.1</v>
      </c>
      <c r="F89" s="53">
        <v>0</v>
      </c>
      <c r="G89" s="53">
        <v>0</v>
      </c>
    </row>
    <row r="90" spans="1:7">
      <c r="A90">
        <f>IFERROR(IF(B90="",0,IF(VALUE(LEFT(B90,1))&gt;3,VLOOKUP(VALUE(B90),PROYECCIONES!B:D,3,FALSE),0)),1 + COUNTIF($A$2:A89,"&gt;0"))</f>
        <v>0</v>
      </c>
      <c r="B90" s="52" t="s">
        <v>479</v>
      </c>
      <c r="C90" s="52" t="s">
        <v>480</v>
      </c>
      <c r="D90" s="53">
        <v>-180390</v>
      </c>
      <c r="E90" s="53">
        <v>180390</v>
      </c>
      <c r="F90" s="53">
        <v>0</v>
      </c>
      <c r="G90" s="53">
        <v>0</v>
      </c>
    </row>
    <row r="91" spans="1:7">
      <c r="A91">
        <f>IFERROR(IF(B91="",0,IF(VALUE(LEFT(B91,1))&gt;3,VLOOKUP(VALUE(B91),PROYECCIONES!B:D,3,FALSE),0)),1 + COUNTIF($A$2:A90,"&gt;0"))</f>
        <v>0</v>
      </c>
      <c r="B91" s="52" t="s">
        <v>309</v>
      </c>
      <c r="C91" s="52" t="s">
        <v>261</v>
      </c>
      <c r="D91" s="53">
        <v>-100000000</v>
      </c>
      <c r="E91" s="53">
        <v>0</v>
      </c>
      <c r="F91" s="53">
        <v>0</v>
      </c>
      <c r="G91" s="53">
        <v>-100000000</v>
      </c>
    </row>
    <row r="92" spans="1:7">
      <c r="A92">
        <f>IFERROR(IF(B92="",0,IF(VALUE(LEFT(B92,1))&gt;3,VLOOKUP(VALUE(B92),PROYECCIONES!B:D,3,FALSE),0)),1 + COUNTIF($A$2:A91,"&gt;0"))</f>
        <v>0</v>
      </c>
      <c r="B92" s="52" t="s">
        <v>310</v>
      </c>
      <c r="C92" s="52" t="s">
        <v>262</v>
      </c>
      <c r="D92" s="53">
        <v>69000000</v>
      </c>
      <c r="E92" s="53">
        <v>0</v>
      </c>
      <c r="F92" s="53">
        <v>0</v>
      </c>
      <c r="G92" s="53">
        <v>69000000</v>
      </c>
    </row>
    <row r="93" spans="1:7">
      <c r="A93">
        <f>IFERROR(IF(B93="",0,IF(VALUE(LEFT(B93,1))&gt;3,VLOOKUP(VALUE(B93),PROYECCIONES!B:D,3,FALSE),0)),1 + COUNTIF($A$2:A92,"&gt;0"))</f>
        <v>0</v>
      </c>
      <c r="B93" s="52" t="s">
        <v>481</v>
      </c>
      <c r="C93" s="52" t="s">
        <v>482</v>
      </c>
      <c r="D93" s="53">
        <v>-41626840.030000001</v>
      </c>
      <c r="E93" s="53">
        <v>41626840.030000001</v>
      </c>
      <c r="F93" s="53">
        <v>0</v>
      </c>
      <c r="G93" s="53">
        <v>0</v>
      </c>
    </row>
    <row r="94" spans="1:7">
      <c r="A94">
        <f>IFERROR(IF(B94="",0,IF(VALUE(LEFT(B94,1))&gt;3,VLOOKUP(VALUE(B94),PROYECCIONES!B:D,3,FALSE),0)),1 + COUNTIF($A$2:A93,"&gt;0"))</f>
        <v>0</v>
      </c>
      <c r="B94" s="52" t="s">
        <v>521</v>
      </c>
      <c r="C94" s="52" t="s">
        <v>522</v>
      </c>
      <c r="D94" s="53">
        <v>0</v>
      </c>
      <c r="E94" s="53">
        <v>22802400</v>
      </c>
      <c r="F94" s="53">
        <v>121913000</v>
      </c>
      <c r="G94" s="53">
        <v>-99110600</v>
      </c>
    </row>
    <row r="95" spans="1:7">
      <c r="A95">
        <f>IFERROR(IF(B95="",0,IF(VALUE(LEFT(B95,1))&gt;3,VLOOKUP(VALUE(B95),PROYECCIONES!B:D,3,FALSE),0)),1 + COUNTIF($A$2:A94,"&gt;0"))</f>
        <v>0</v>
      </c>
      <c r="B95" s="52" t="s">
        <v>523</v>
      </c>
      <c r="C95" s="52" t="s">
        <v>524</v>
      </c>
      <c r="D95" s="53">
        <v>0</v>
      </c>
      <c r="E95" s="53">
        <v>0</v>
      </c>
      <c r="F95" s="53">
        <v>9320635</v>
      </c>
      <c r="G95" s="53">
        <v>-9320635</v>
      </c>
    </row>
    <row r="96" spans="1:7">
      <c r="A96">
        <f>IFERROR(IF(B96="",0,IF(VALUE(LEFT(B96,1))&gt;3,VLOOKUP(VALUE(B96),PROYECCIONES!B:D,3,FALSE),0)),1 + COUNTIF($A$2:A95,"&gt;0"))</f>
        <v>0</v>
      </c>
      <c r="B96" s="52" t="s">
        <v>525</v>
      </c>
      <c r="C96" s="52" t="s">
        <v>526</v>
      </c>
      <c r="D96" s="53">
        <v>0</v>
      </c>
      <c r="E96" s="53">
        <v>0</v>
      </c>
      <c r="F96" s="53">
        <v>106347119</v>
      </c>
      <c r="G96" s="53">
        <v>-106347119</v>
      </c>
    </row>
    <row r="97" spans="1:7">
      <c r="A97">
        <f>IFERROR(IF(B97="",0,IF(VALUE(LEFT(B97,1))&gt;3,VLOOKUP(VALUE(B97),PROYECCIONES!B:D,3,FALSE),0)),1 + COUNTIF($A$2:A96,"&gt;0"))</f>
        <v>0</v>
      </c>
      <c r="B97" s="52" t="s">
        <v>527</v>
      </c>
      <c r="C97" s="52" t="s">
        <v>528</v>
      </c>
      <c r="D97" s="53">
        <v>0</v>
      </c>
      <c r="E97" s="53">
        <v>0</v>
      </c>
      <c r="F97" s="53">
        <v>41185457</v>
      </c>
      <c r="G97" s="53">
        <v>-41185457</v>
      </c>
    </row>
    <row r="98" spans="1:7">
      <c r="A98">
        <f>IFERROR(IF(B98="",0,IF(VALUE(LEFT(B98,1))&gt;3,VLOOKUP(VALUE(B98),PROYECCIONES!B:D,3,FALSE),0)),1 + COUNTIF($A$2:A97,"&gt;0"))</f>
        <v>0</v>
      </c>
      <c r="B98" s="52" t="s">
        <v>529</v>
      </c>
      <c r="C98" s="52" t="s">
        <v>530</v>
      </c>
      <c r="D98" s="53">
        <v>0</v>
      </c>
      <c r="E98" s="53">
        <v>0</v>
      </c>
      <c r="F98" s="53">
        <v>46049185</v>
      </c>
      <c r="G98" s="53">
        <v>-46049185</v>
      </c>
    </row>
    <row r="99" spans="1:7">
      <c r="A99">
        <f>IFERROR(IF(B99="",0,IF(VALUE(LEFT(B99,1))&gt;3,VLOOKUP(VALUE(B99),PROYECCIONES!B:D,3,FALSE),0)),1 + COUNTIF($A$2:A98,"&gt;0"))</f>
        <v>0</v>
      </c>
      <c r="B99" s="52" t="s">
        <v>531</v>
      </c>
      <c r="C99" s="52" t="s">
        <v>532</v>
      </c>
      <c r="D99" s="53">
        <v>0</v>
      </c>
      <c r="E99" s="53">
        <v>0</v>
      </c>
      <c r="F99" s="53">
        <v>41626840.030000001</v>
      </c>
      <c r="G99" s="53">
        <v>-41626840.030000001</v>
      </c>
    </row>
    <row r="100" spans="1:7">
      <c r="A100">
        <f>IFERROR(IF(B100="",0,IF(VALUE(LEFT(B100,1))&gt;3,VLOOKUP(VALUE(B100),PROYECCIONES!B:D,3,FALSE),0)),1 + COUNTIF($A$2:A99,"&gt;0"))</f>
        <v>0</v>
      </c>
      <c r="B100" s="52" t="s">
        <v>311</v>
      </c>
      <c r="C100" s="52" t="s">
        <v>263</v>
      </c>
      <c r="D100" s="53">
        <v>-324855397.33999997</v>
      </c>
      <c r="E100" s="53">
        <v>324855397.33999997</v>
      </c>
      <c r="F100" s="53">
        <v>0</v>
      </c>
      <c r="G100" s="53">
        <v>-5.9604644775390599E-8</v>
      </c>
    </row>
    <row r="101" spans="1:7">
      <c r="A101">
        <f>IFERROR(IF(B101="",0,IF(VALUE(LEFT(B101,1))&gt;3,VLOOKUP(VALUE(B101),PROYECCIONES!B:D,3,FALSE),0)),1 + COUNTIF($A$2:A100,"&gt;0"))</f>
        <v>0</v>
      </c>
      <c r="B101" s="52" t="s">
        <v>312</v>
      </c>
      <c r="C101" s="52" t="s">
        <v>119</v>
      </c>
      <c r="D101" s="53">
        <v>0</v>
      </c>
      <c r="E101" s="53">
        <v>0</v>
      </c>
      <c r="F101" s="53">
        <v>230379873</v>
      </c>
      <c r="G101" s="53">
        <v>-230379873</v>
      </c>
    </row>
    <row r="102" spans="1:7">
      <c r="A102">
        <f>IFERROR(IF(B102="",0,IF(VALUE(LEFT(B102,1))&gt;3,VLOOKUP(VALUE(B102),PROYECCIONES!B:D,3,FALSE),0)),1 + COUNTIF($A$2:A101,"&gt;0"))</f>
        <v>0</v>
      </c>
      <c r="B102" s="52" t="s">
        <v>386</v>
      </c>
      <c r="C102" s="52" t="s">
        <v>120</v>
      </c>
      <c r="D102" s="53">
        <v>0</v>
      </c>
      <c r="E102" s="53">
        <v>0</v>
      </c>
      <c r="F102" s="53">
        <v>66720360</v>
      </c>
      <c r="G102" s="53">
        <v>-66720360</v>
      </c>
    </row>
    <row r="103" spans="1:7">
      <c r="A103">
        <f>IFERROR(IF(B103="",0,IF(VALUE(LEFT(B103,1))&gt;3,VLOOKUP(VALUE(B103),PROYECCIONES!B:D,3,FALSE),0)),1 + COUNTIF($A$2:A102,"&gt;0"))</f>
        <v>0</v>
      </c>
      <c r="B103" s="52" t="s">
        <v>540</v>
      </c>
      <c r="C103" s="52" t="s">
        <v>191</v>
      </c>
      <c r="D103" s="53">
        <v>0</v>
      </c>
      <c r="E103" s="53">
        <v>0</v>
      </c>
      <c r="F103" s="53">
        <v>1009000</v>
      </c>
      <c r="G103" s="53">
        <v>-1009000</v>
      </c>
    </row>
    <row r="104" spans="1:7">
      <c r="A104">
        <f>IFERROR(IF(B104="",0,IF(VALUE(LEFT(B104,1))&gt;3,VLOOKUP(VALUE(B104),PROYECCIONES!B:D,3,FALSE),0)),1 + COUNTIF($A$2:A103,"&gt;0"))</f>
        <v>0</v>
      </c>
      <c r="B104" s="52" t="s">
        <v>541</v>
      </c>
      <c r="C104" s="52" t="s">
        <v>200</v>
      </c>
      <c r="D104" s="53">
        <v>0</v>
      </c>
      <c r="E104" s="53">
        <v>0</v>
      </c>
      <c r="F104" s="53">
        <v>7000000</v>
      </c>
      <c r="G104" s="53">
        <v>-7000000</v>
      </c>
    </row>
    <row r="105" spans="1:7">
      <c r="A105">
        <f>IFERROR(IF(B105="",0,IF(VALUE(LEFT(B105,1))&gt;3,VLOOKUP(VALUE(B105),PROYECCIONES!B:D,3,FALSE),0)),1 + COUNTIF($A$2:A104,"&gt;0"))</f>
        <v>0</v>
      </c>
      <c r="B105" s="52" t="s">
        <v>560</v>
      </c>
      <c r="C105" s="52" t="s">
        <v>419</v>
      </c>
      <c r="D105" s="53">
        <v>0</v>
      </c>
      <c r="E105" s="53">
        <v>0</v>
      </c>
      <c r="F105" s="53">
        <v>1200000</v>
      </c>
      <c r="G105" s="53">
        <v>-1200000</v>
      </c>
    </row>
    <row r="106" spans="1:7">
      <c r="A106">
        <f>IFERROR(IF(B106="",0,IF(VALUE(LEFT(B106,1))&gt;3,VLOOKUP(VALUE(B106),PROYECCIONES!B:D,3,FALSE),0)),1 + COUNTIF($A$2:A105,"&gt;0"))</f>
        <v>0</v>
      </c>
      <c r="B106" s="52" t="s">
        <v>313</v>
      </c>
      <c r="C106" s="52" t="s">
        <v>122</v>
      </c>
      <c r="D106" s="53">
        <v>2.91038304567337E-11</v>
      </c>
      <c r="E106" s="53">
        <v>0</v>
      </c>
      <c r="F106" s="53">
        <v>7800.81</v>
      </c>
      <c r="G106" s="53">
        <v>-7800.8099999999704</v>
      </c>
    </row>
    <row r="107" spans="1:7">
      <c r="A107">
        <f>IFERROR(IF(B107="",0,IF(VALUE(LEFT(B107,1))&gt;3,VLOOKUP(VALUE(B107),PROYECCIONES!B:D,3,FALSE),0)),1 + COUNTIF($A$2:A106,"&gt;0"))</f>
        <v>0</v>
      </c>
      <c r="B107" s="52" t="s">
        <v>598</v>
      </c>
      <c r="C107" s="52" t="s">
        <v>599</v>
      </c>
      <c r="D107" s="53">
        <v>0</v>
      </c>
      <c r="E107" s="53">
        <v>0</v>
      </c>
      <c r="F107" s="53">
        <v>1645138.5</v>
      </c>
      <c r="G107" s="53">
        <v>-1645138.5</v>
      </c>
    </row>
    <row r="108" spans="1:7">
      <c r="A108">
        <f>IFERROR(IF(B108="",0,IF(VALUE(LEFT(B108,1))&gt;3,VLOOKUP(VALUE(B108),PROYECCIONES!B:D,3,FALSE),0)),1 + COUNTIF($A$2:A107,"&gt;0"))</f>
        <v>0</v>
      </c>
      <c r="B108" s="52" t="s">
        <v>542</v>
      </c>
      <c r="C108" s="52" t="s">
        <v>543</v>
      </c>
      <c r="D108" s="53">
        <v>0</v>
      </c>
      <c r="E108" s="53">
        <v>0</v>
      </c>
      <c r="F108" s="53">
        <v>146250</v>
      </c>
      <c r="G108" s="53">
        <v>-146250</v>
      </c>
    </row>
    <row r="109" spans="1:7">
      <c r="A109">
        <f>IFERROR(IF(B109="",0,IF(VALUE(LEFT(B109,1))&gt;3,VLOOKUP(VALUE(B109),PROYECCIONES!B:D,3,FALSE),0)),1 + COUNTIF($A$2:A108,"&gt;0"))</f>
        <v>0</v>
      </c>
      <c r="B109" s="52" t="s">
        <v>314</v>
      </c>
      <c r="C109" s="52" t="s">
        <v>99</v>
      </c>
      <c r="D109" s="53">
        <v>0</v>
      </c>
      <c r="E109" s="53">
        <v>0</v>
      </c>
      <c r="F109" s="53">
        <v>23.570000000000999</v>
      </c>
      <c r="G109" s="53">
        <v>-23.570000000006999</v>
      </c>
    </row>
    <row r="110" spans="1:7">
      <c r="A110">
        <f>IFERROR(IF(B110="",0,IF(VALUE(LEFT(B110,1))&gt;3,VLOOKUP(VALUE(B110),PROYECCIONES!B:D,3,FALSE),0)),1 + COUNTIF($A$2:A109,"&gt;0"))</f>
        <v>0</v>
      </c>
      <c r="B110" s="52" t="s">
        <v>315</v>
      </c>
      <c r="C110" s="52" t="s">
        <v>100</v>
      </c>
      <c r="D110" s="53">
        <v>0</v>
      </c>
      <c r="E110" s="53">
        <v>29926667</v>
      </c>
      <c r="F110" s="53">
        <v>0</v>
      </c>
      <c r="G110" s="53">
        <v>29926667</v>
      </c>
    </row>
    <row r="111" spans="1:7">
      <c r="A111">
        <f>IFERROR(IF(B111="",0,IF(VALUE(LEFT(B111,1))&gt;3,VLOOKUP(VALUE(B111),PROYECCIONES!B:D,3,FALSE),0)),1 + COUNTIF($A$2:A110,"&gt;0"))</f>
        <v>0</v>
      </c>
      <c r="B111" s="52" t="s">
        <v>316</v>
      </c>
      <c r="C111" s="52" t="s">
        <v>101</v>
      </c>
      <c r="D111" s="53">
        <v>0</v>
      </c>
      <c r="E111" s="53">
        <v>961922</v>
      </c>
      <c r="F111" s="53">
        <v>0</v>
      </c>
      <c r="G111" s="53">
        <v>961922</v>
      </c>
    </row>
    <row r="112" spans="1:7">
      <c r="A112">
        <f>IFERROR(IF(B112="",0,IF(VALUE(LEFT(B112,1))&gt;3,VLOOKUP(VALUE(B112),PROYECCIONES!B:D,3,FALSE),0)),1 + COUNTIF($A$2:A111,"&gt;0"))</f>
        <v>0</v>
      </c>
      <c r="B112" s="52" t="s">
        <v>317</v>
      </c>
      <c r="C112" s="52" t="s">
        <v>96</v>
      </c>
      <c r="D112" s="53">
        <v>0</v>
      </c>
      <c r="E112" s="53">
        <v>2661449</v>
      </c>
      <c r="F112" s="53">
        <v>0</v>
      </c>
      <c r="G112" s="53">
        <v>2661449</v>
      </c>
    </row>
    <row r="113" spans="1:7">
      <c r="A113">
        <f>IFERROR(IF(B113="",0,IF(VALUE(LEFT(B113,1))&gt;3,VLOOKUP(VALUE(B113),PROYECCIONES!B:D,3,FALSE),0)),1 + COUNTIF($A$2:A112,"&gt;0"))</f>
        <v>0</v>
      </c>
      <c r="B113" s="52" t="s">
        <v>318</v>
      </c>
      <c r="C113" s="52" t="s">
        <v>102</v>
      </c>
      <c r="D113" s="53">
        <v>0</v>
      </c>
      <c r="E113" s="53">
        <v>319376</v>
      </c>
      <c r="F113" s="53">
        <v>0</v>
      </c>
      <c r="G113" s="53">
        <v>319376</v>
      </c>
    </row>
    <row r="114" spans="1:7">
      <c r="A114">
        <f>IFERROR(IF(B114="",0,IF(VALUE(LEFT(B114,1))&gt;3,VLOOKUP(VALUE(B114),PROYECCIONES!B:D,3,FALSE),0)),1 + COUNTIF($A$2:A113,"&gt;0"))</f>
        <v>0</v>
      </c>
      <c r="B114" s="52" t="s">
        <v>319</v>
      </c>
      <c r="C114" s="52" t="s">
        <v>97</v>
      </c>
      <c r="D114" s="53">
        <v>0</v>
      </c>
      <c r="E114" s="53">
        <v>2661449</v>
      </c>
      <c r="F114" s="53">
        <v>0</v>
      </c>
      <c r="G114" s="53">
        <v>2661449</v>
      </c>
    </row>
    <row r="115" spans="1:7">
      <c r="A115">
        <f>IFERROR(IF(B115="",0,IF(VALUE(LEFT(B115,1))&gt;3,VLOOKUP(VALUE(B115),PROYECCIONES!B:D,3,FALSE),0)),1 + COUNTIF($A$2:A114,"&gt;0"))</f>
        <v>0</v>
      </c>
      <c r="B115" s="52" t="s">
        <v>320</v>
      </c>
      <c r="C115" s="52" t="s">
        <v>98</v>
      </c>
      <c r="D115" s="53">
        <v>0</v>
      </c>
      <c r="E115" s="53">
        <v>1291671</v>
      </c>
      <c r="F115" s="53">
        <v>0</v>
      </c>
      <c r="G115" s="53">
        <v>1291671</v>
      </c>
    </row>
    <row r="116" spans="1:7">
      <c r="A116">
        <f>IFERROR(IF(B116="",0,IF(VALUE(LEFT(B116,1))&gt;3,VLOOKUP(VALUE(B116),PROYECCIONES!B:D,3,FALSE),0)),1 + COUNTIF($A$2:A115,"&gt;0"))</f>
        <v>0</v>
      </c>
      <c r="B116" s="52" t="s">
        <v>484</v>
      </c>
      <c r="C116" s="52" t="s">
        <v>485</v>
      </c>
      <c r="D116" s="53">
        <v>0</v>
      </c>
      <c r="E116" s="53">
        <v>104040</v>
      </c>
      <c r="F116" s="53">
        <v>0</v>
      </c>
      <c r="G116" s="53">
        <v>104040</v>
      </c>
    </row>
    <row r="117" spans="1:7">
      <c r="A117">
        <f>IFERROR(IF(B117="",0,IF(VALUE(LEFT(B117,1))&gt;3,VLOOKUP(VALUE(B117),PROYECCIONES!B:D,3,FALSE),0)),1 + COUNTIF($A$2:A116,"&gt;0"))</f>
        <v>0</v>
      </c>
      <c r="B117" s="52" t="s">
        <v>387</v>
      </c>
      <c r="C117" s="52" t="s">
        <v>90</v>
      </c>
      <c r="D117" s="53">
        <v>0</v>
      </c>
      <c r="E117" s="53">
        <v>258700</v>
      </c>
      <c r="F117" s="53">
        <v>0</v>
      </c>
      <c r="G117" s="53">
        <v>258700</v>
      </c>
    </row>
    <row r="118" spans="1:7">
      <c r="A118">
        <f>IFERROR(IF(B118="",0,IF(VALUE(LEFT(B118,1))&gt;3,VLOOKUP(VALUE(B118),PROYECCIONES!B:D,3,FALSE),0)),1 + COUNTIF($A$2:A117,"&gt;0"))</f>
        <v>0</v>
      </c>
      <c r="B118" s="52" t="s">
        <v>321</v>
      </c>
      <c r="C118" s="52" t="s">
        <v>103</v>
      </c>
      <c r="D118" s="53">
        <v>0</v>
      </c>
      <c r="E118" s="53">
        <v>4699000</v>
      </c>
      <c r="F118" s="53">
        <v>0</v>
      </c>
      <c r="G118" s="53">
        <v>4699000</v>
      </c>
    </row>
    <row r="119" spans="1:7">
      <c r="A119">
        <f>IFERROR(IF(B119="",0,IF(VALUE(LEFT(B119,1))&gt;3,VLOOKUP(VALUE(B119),PROYECCIONES!B:D,3,FALSE),0)),1 + COUNTIF($A$2:A118,"&gt;0"))</f>
        <v>0</v>
      </c>
      <c r="B119" s="52" t="s">
        <v>322</v>
      </c>
      <c r="C119" s="52" t="s">
        <v>125</v>
      </c>
      <c r="D119" s="53">
        <v>0</v>
      </c>
      <c r="E119" s="53">
        <v>500168.13</v>
      </c>
      <c r="F119" s="53">
        <v>0</v>
      </c>
      <c r="G119" s="53">
        <v>500168.13000000099</v>
      </c>
    </row>
    <row r="120" spans="1:7">
      <c r="A120">
        <f>IFERROR(IF(B120="",0,IF(VALUE(LEFT(B120,1))&gt;3,VLOOKUP(VALUE(B120),PROYECCIONES!B:D,3,FALSE),0)),1 + COUNTIF($A$2:A119,"&gt;0"))</f>
        <v>0</v>
      </c>
      <c r="B120" s="52" t="s">
        <v>323</v>
      </c>
      <c r="C120" s="52" t="s">
        <v>126</v>
      </c>
      <c r="D120" s="53">
        <v>0</v>
      </c>
      <c r="E120" s="53">
        <v>500000</v>
      </c>
      <c r="F120" s="53">
        <v>0</v>
      </c>
      <c r="G120" s="53">
        <v>500000</v>
      </c>
    </row>
    <row r="121" spans="1:7">
      <c r="A121">
        <f>IFERROR(IF(B121="",0,IF(VALUE(LEFT(B121,1))&gt;3,VLOOKUP(VALUE(B121),PROYECCIONES!B:D,3,FALSE),0)),1 + COUNTIF($A$2:A120,"&gt;0"))</f>
        <v>0</v>
      </c>
      <c r="B121" s="52" t="s">
        <v>324</v>
      </c>
      <c r="C121" s="52" t="s">
        <v>127</v>
      </c>
      <c r="D121" s="53">
        <v>0</v>
      </c>
      <c r="E121" s="53">
        <v>161820</v>
      </c>
      <c r="F121" s="53">
        <v>0</v>
      </c>
      <c r="G121" s="53">
        <v>161820</v>
      </c>
    </row>
    <row r="122" spans="1:7">
      <c r="A122">
        <f>IFERROR(IF(B122="",0,IF(VALUE(LEFT(B122,1))&gt;3,VLOOKUP(VALUE(B122),PROYECCIONES!B:D,3,FALSE),0)),1 + COUNTIF($A$2:A121,"&gt;0"))</f>
        <v>0</v>
      </c>
      <c r="B122" s="52" t="s">
        <v>325</v>
      </c>
      <c r="C122" s="52" t="s">
        <v>128</v>
      </c>
      <c r="D122" s="53">
        <v>0</v>
      </c>
      <c r="E122" s="53">
        <v>3240000</v>
      </c>
      <c r="F122" s="53">
        <v>0</v>
      </c>
      <c r="G122" s="53">
        <v>3240000</v>
      </c>
    </row>
    <row r="123" spans="1:7">
      <c r="A123">
        <f>IFERROR(IF(B123="",0,IF(VALUE(LEFT(B123,1))&gt;3,VLOOKUP(VALUE(B123),PROYECCIONES!B:D,3,FALSE),0)),1 + COUNTIF($A$2:A122,"&gt;0"))</f>
        <v>0</v>
      </c>
      <c r="B123" s="52" t="s">
        <v>326</v>
      </c>
      <c r="C123" s="52" t="s">
        <v>129</v>
      </c>
      <c r="D123" s="53">
        <v>0</v>
      </c>
      <c r="E123" s="53">
        <v>1240000</v>
      </c>
      <c r="F123" s="53">
        <v>0</v>
      </c>
      <c r="G123" s="53">
        <v>1240000</v>
      </c>
    </row>
    <row r="124" spans="1:7">
      <c r="A124">
        <f>IFERROR(IF(B124="",0,IF(VALUE(LEFT(B124,1))&gt;3,VLOOKUP(VALUE(B124),PROYECCIONES!B:D,3,FALSE),0)),1 + COUNTIF($A$2:A123,"&gt;0"))</f>
        <v>0</v>
      </c>
      <c r="B124" s="52" t="s">
        <v>388</v>
      </c>
      <c r="C124" s="52" t="s">
        <v>130</v>
      </c>
      <c r="D124" s="53">
        <v>0</v>
      </c>
      <c r="E124" s="53">
        <v>1444716.81</v>
      </c>
      <c r="F124" s="53">
        <v>0</v>
      </c>
      <c r="G124" s="53">
        <v>1444716.81</v>
      </c>
    </row>
    <row r="125" spans="1:7">
      <c r="A125">
        <f>IFERROR(IF(B125="",0,IF(VALUE(LEFT(B125,1))&gt;3,VLOOKUP(VALUE(B125),PROYECCIONES!B:D,3,FALSE),0)),1 + COUNTIF($A$2:A124,"&gt;0"))</f>
        <v>0</v>
      </c>
      <c r="B125" s="52" t="s">
        <v>389</v>
      </c>
      <c r="C125" s="52" t="s">
        <v>131</v>
      </c>
      <c r="D125" s="53">
        <v>0</v>
      </c>
      <c r="E125" s="53">
        <v>14480000</v>
      </c>
      <c r="F125" s="53">
        <v>0</v>
      </c>
      <c r="G125" s="53">
        <v>14480000</v>
      </c>
    </row>
    <row r="126" spans="1:7">
      <c r="A126">
        <f>IFERROR(IF(B126="",0,IF(VALUE(LEFT(B126,1))&gt;3,VLOOKUP(VALUE(B126),PROYECCIONES!B:D,3,FALSE),0)),1 + COUNTIF($A$2:A125,"&gt;0"))</f>
        <v>0</v>
      </c>
      <c r="B126" s="52" t="s">
        <v>366</v>
      </c>
      <c r="C126" s="52" t="s">
        <v>132</v>
      </c>
      <c r="D126" s="53">
        <v>0</v>
      </c>
      <c r="E126" s="53">
        <v>1000000</v>
      </c>
      <c r="F126" s="53">
        <v>0</v>
      </c>
      <c r="G126" s="53">
        <v>1000000</v>
      </c>
    </row>
    <row r="127" spans="1:7">
      <c r="A127">
        <f>IFERROR(IF(B127="",0,IF(VALUE(LEFT(B127,1))&gt;3,VLOOKUP(VALUE(B127),PROYECCIONES!B:D,3,FALSE),0)),1 + COUNTIF($A$2:A126,"&gt;0"))</f>
        <v>0</v>
      </c>
      <c r="B127" s="52" t="s">
        <v>327</v>
      </c>
      <c r="C127" s="52" t="s">
        <v>133</v>
      </c>
      <c r="D127" s="53">
        <v>0</v>
      </c>
      <c r="E127" s="53">
        <v>600000</v>
      </c>
      <c r="F127" s="53">
        <v>0</v>
      </c>
      <c r="G127" s="53">
        <v>600000</v>
      </c>
    </row>
    <row r="128" spans="1:7">
      <c r="A128">
        <f>IFERROR(IF(B128="",0,IF(VALUE(LEFT(B128,1))&gt;3,VLOOKUP(VALUE(B128),PROYECCIONES!B:D,3,FALSE),0)),1 + COUNTIF($A$2:A127,"&gt;0"))</f>
        <v>0</v>
      </c>
      <c r="B128" s="52" t="s">
        <v>328</v>
      </c>
      <c r="C128" s="52" t="s">
        <v>110</v>
      </c>
      <c r="D128" s="53">
        <v>0</v>
      </c>
      <c r="E128" s="53">
        <v>1578812.23</v>
      </c>
      <c r="F128" s="53">
        <v>0</v>
      </c>
      <c r="G128" s="53">
        <v>1578812.23</v>
      </c>
    </row>
    <row r="129" spans="1:7">
      <c r="A129">
        <f>IFERROR(IF(B129="",0,IF(VALUE(LEFT(B129,1))&gt;3,VLOOKUP(VALUE(B129),PROYECCIONES!B:D,3,FALSE),0)),1 + COUNTIF($A$2:A128,"&gt;0"))</f>
        <v>0</v>
      </c>
      <c r="B129" s="52" t="s">
        <v>412</v>
      </c>
      <c r="C129" s="52" t="s">
        <v>198</v>
      </c>
      <c r="D129" s="53">
        <v>0</v>
      </c>
      <c r="E129" s="53">
        <v>48721.09</v>
      </c>
      <c r="F129" s="53">
        <v>0</v>
      </c>
      <c r="G129" s="53">
        <v>48721.09</v>
      </c>
    </row>
    <row r="130" spans="1:7">
      <c r="A130">
        <f>IFERROR(IF(B130="",0,IF(VALUE(LEFT(B130,1))&gt;3,VLOOKUP(VALUE(B130),PROYECCIONES!B:D,3,FALSE),0)),1 + COUNTIF($A$2:A129,"&gt;0"))</f>
        <v>0</v>
      </c>
      <c r="B130" s="52" t="s">
        <v>329</v>
      </c>
      <c r="C130" s="52" t="s">
        <v>135</v>
      </c>
      <c r="D130" s="53">
        <v>-4.65661287307739E-10</v>
      </c>
      <c r="E130" s="53">
        <v>192053.01</v>
      </c>
      <c r="F130" s="53">
        <v>0</v>
      </c>
      <c r="G130" s="53">
        <v>192053.01</v>
      </c>
    </row>
    <row r="131" spans="1:7">
      <c r="A131">
        <f>IFERROR(IF(B131="",0,IF(VALUE(LEFT(B131,1))&gt;3,VLOOKUP(VALUE(B131),PROYECCIONES!B:D,3,FALSE),0)),1 + COUNTIF($A$2:A130,"&gt;0"))</f>
        <v>0</v>
      </c>
      <c r="B131" s="52" t="s">
        <v>330</v>
      </c>
      <c r="C131" s="52" t="s">
        <v>136</v>
      </c>
      <c r="D131" s="53">
        <v>0</v>
      </c>
      <c r="E131" s="53">
        <v>6538630</v>
      </c>
      <c r="F131" s="53">
        <v>0</v>
      </c>
      <c r="G131" s="53">
        <v>6538630</v>
      </c>
    </row>
    <row r="132" spans="1:7">
      <c r="A132">
        <f>IFERROR(IF(B132="",0,IF(VALUE(LEFT(B132,1))&gt;3,VLOOKUP(VALUE(B132),PROYECCIONES!B:D,3,FALSE),0)),1 + COUNTIF($A$2:A131,"&gt;0"))</f>
        <v>0</v>
      </c>
      <c r="B132" s="52" t="s">
        <v>544</v>
      </c>
      <c r="C132" s="52" t="s">
        <v>420</v>
      </c>
      <c r="D132" s="53">
        <v>0</v>
      </c>
      <c r="E132" s="53">
        <v>1270336</v>
      </c>
      <c r="F132" s="53">
        <v>0</v>
      </c>
      <c r="G132" s="53">
        <v>1270336</v>
      </c>
    </row>
    <row r="133" spans="1:7">
      <c r="A133">
        <f>IFERROR(IF(B133="",0,IF(VALUE(LEFT(B133,1))&gt;3,VLOOKUP(VALUE(B133),PROYECCIONES!B:D,3,FALSE),0)),1 + COUNTIF($A$2:A132,"&gt;0"))</f>
        <v>0</v>
      </c>
      <c r="B133" s="52" t="s">
        <v>561</v>
      </c>
      <c r="C133" s="52" t="s">
        <v>562</v>
      </c>
      <c r="D133" s="53">
        <v>0</v>
      </c>
      <c r="E133" s="53">
        <v>84033</v>
      </c>
      <c r="F133" s="53">
        <v>0</v>
      </c>
      <c r="G133" s="53">
        <v>84033</v>
      </c>
    </row>
    <row r="134" spans="1:7">
      <c r="A134">
        <f>IFERROR(IF(B134="",0,IF(VALUE(LEFT(B134,1))&gt;3,VLOOKUP(VALUE(B134),PROYECCIONES!B:D,3,FALSE),0)),1 + COUNTIF($A$2:A133,"&gt;0"))</f>
        <v>0</v>
      </c>
      <c r="B134" s="52" t="s">
        <v>331</v>
      </c>
      <c r="C134" s="52" t="s">
        <v>137</v>
      </c>
      <c r="D134" s="53">
        <v>0</v>
      </c>
      <c r="E134" s="53">
        <v>2484398</v>
      </c>
      <c r="F134" s="53">
        <v>0</v>
      </c>
      <c r="G134" s="53">
        <v>2484398</v>
      </c>
    </row>
    <row r="135" spans="1:7">
      <c r="A135">
        <f>IFERROR(IF(B135="",0,IF(VALUE(LEFT(B135,1))&gt;3,VLOOKUP(VALUE(B135),PROYECCIONES!B:D,3,FALSE),0)),1 + COUNTIF($A$2:A134,"&gt;0"))</f>
        <v>0</v>
      </c>
      <c r="B135" s="52" t="s">
        <v>332</v>
      </c>
      <c r="C135" s="52" t="s">
        <v>139</v>
      </c>
      <c r="D135" s="53">
        <v>0</v>
      </c>
      <c r="E135" s="53">
        <v>981853.29</v>
      </c>
      <c r="F135" s="53">
        <v>0</v>
      </c>
      <c r="G135" s="53">
        <v>981853.29</v>
      </c>
    </row>
    <row r="136" spans="1:7">
      <c r="A136">
        <f>IFERROR(IF(B136="",0,IF(VALUE(LEFT(B136,1))&gt;3,VLOOKUP(VALUE(B136),PROYECCIONES!B:D,3,FALSE),0)),1 + COUNTIF($A$2:A135,"&gt;0"))</f>
        <v>0</v>
      </c>
      <c r="B136" s="52" t="s">
        <v>333</v>
      </c>
      <c r="C136" s="52" t="s">
        <v>140</v>
      </c>
      <c r="D136" s="53">
        <v>-2.3283064365386999E-10</v>
      </c>
      <c r="E136" s="53">
        <v>15376.46</v>
      </c>
      <c r="F136" s="53">
        <v>0</v>
      </c>
      <c r="G136" s="53">
        <v>15376.459999999701</v>
      </c>
    </row>
    <row r="137" spans="1:7">
      <c r="A137">
        <f>IFERROR(IF(B137="",0,IF(VALUE(LEFT(B137,1))&gt;3,VLOOKUP(VALUE(B137),PROYECCIONES!B:D,3,FALSE),0)),1 + COUNTIF($A$2:A136,"&gt;0"))</f>
        <v>0</v>
      </c>
      <c r="B137" s="52" t="s">
        <v>563</v>
      </c>
      <c r="C137" s="52" t="s">
        <v>564</v>
      </c>
      <c r="D137" s="53">
        <v>0</v>
      </c>
      <c r="E137" s="53">
        <v>47038</v>
      </c>
      <c r="F137" s="53">
        <v>0</v>
      </c>
      <c r="G137" s="53">
        <v>47038</v>
      </c>
    </row>
    <row r="138" spans="1:7">
      <c r="A138">
        <f>IFERROR(IF(B138="",0,IF(VALUE(LEFT(B138,1))&gt;3,VLOOKUP(VALUE(B138),PROYECCIONES!B:D,3,FALSE),0)),1 + COUNTIF($A$2:A137,"&gt;0"))</f>
        <v>0</v>
      </c>
      <c r="B138" s="52" t="s">
        <v>334</v>
      </c>
      <c r="C138" s="52" t="s">
        <v>141</v>
      </c>
      <c r="D138" s="53">
        <v>0</v>
      </c>
      <c r="E138" s="53">
        <v>4450000</v>
      </c>
      <c r="F138" s="53">
        <v>0</v>
      </c>
      <c r="G138" s="53">
        <v>4450000</v>
      </c>
    </row>
    <row r="139" spans="1:7">
      <c r="A139">
        <f>IFERROR(IF(B139="",0,IF(VALUE(LEFT(B139,1))&gt;3,VLOOKUP(VALUE(B139),PROYECCIONES!B:D,3,FALSE),0)),1 + COUNTIF($A$2:A138,"&gt;0"))</f>
        <v>0</v>
      </c>
      <c r="B139" s="52" t="s">
        <v>565</v>
      </c>
      <c r="C139" s="52" t="s">
        <v>142</v>
      </c>
      <c r="D139" s="53">
        <v>0</v>
      </c>
      <c r="E139" s="53">
        <v>1214000</v>
      </c>
      <c r="F139" s="53">
        <v>0</v>
      </c>
      <c r="G139" s="53">
        <v>1214000</v>
      </c>
    </row>
    <row r="140" spans="1:7">
      <c r="A140">
        <f>IFERROR(IF(B140="",0,IF(VALUE(LEFT(B140,1))&gt;3,VLOOKUP(VALUE(B140),PROYECCIONES!B:D,3,FALSE),0)),1 + COUNTIF($A$2:A139,"&gt;0"))</f>
        <v>0</v>
      </c>
      <c r="B140" s="52" t="s">
        <v>335</v>
      </c>
      <c r="C140" s="52" t="s">
        <v>143</v>
      </c>
      <c r="D140" s="53">
        <v>0</v>
      </c>
      <c r="E140" s="53">
        <v>208634.43</v>
      </c>
      <c r="F140" s="53">
        <v>0</v>
      </c>
      <c r="G140" s="53">
        <v>208634.43</v>
      </c>
    </row>
    <row r="141" spans="1:7">
      <c r="A141">
        <f>IFERROR(IF(B141="",0,IF(VALUE(LEFT(B141,1))&gt;3,VLOOKUP(VALUE(B141),PROYECCIONES!B:D,3,FALSE),0)),1 + COUNTIF($A$2:A140,"&gt;0"))</f>
        <v>0</v>
      </c>
      <c r="B141" s="52" t="s">
        <v>336</v>
      </c>
      <c r="C141" s="52" t="s">
        <v>144</v>
      </c>
      <c r="D141" s="53">
        <v>0</v>
      </c>
      <c r="E141" s="53">
        <v>1075306.1000000001</v>
      </c>
      <c r="F141" s="53">
        <v>0</v>
      </c>
      <c r="G141" s="53">
        <v>1075306.1000000001</v>
      </c>
    </row>
    <row r="142" spans="1:7">
      <c r="A142">
        <f>IFERROR(IF(B142="",0,IF(VALUE(LEFT(B142,1))&gt;3,VLOOKUP(VALUE(B142),PROYECCIONES!B:D,3,FALSE),0)),1 + COUNTIF($A$2:A141,"&gt;0"))</f>
        <v>0</v>
      </c>
      <c r="B142" s="52" t="s">
        <v>367</v>
      </c>
      <c r="C142" s="52" t="s">
        <v>145</v>
      </c>
      <c r="D142" s="53">
        <v>0</v>
      </c>
      <c r="E142" s="53">
        <v>122291</v>
      </c>
      <c r="F142" s="53">
        <v>0</v>
      </c>
      <c r="G142" s="53">
        <v>122291</v>
      </c>
    </row>
    <row r="143" spans="1:7">
      <c r="A143">
        <f>IFERROR(IF(B143="",0,IF(VALUE(LEFT(B143,1))&gt;3,VLOOKUP(VALUE(B143),PROYECCIONES!B:D,3,FALSE),0)),1 + COUNTIF($A$2:A142,"&gt;0"))</f>
        <v>0</v>
      </c>
      <c r="B143" s="52" t="s">
        <v>337</v>
      </c>
      <c r="C143" s="52" t="s">
        <v>146</v>
      </c>
      <c r="D143" s="53">
        <v>0</v>
      </c>
      <c r="E143" s="53">
        <v>1332515.04</v>
      </c>
      <c r="F143" s="53">
        <v>0</v>
      </c>
      <c r="G143" s="53">
        <v>1332515.04</v>
      </c>
    </row>
    <row r="144" spans="1:7">
      <c r="A144">
        <f>IFERROR(IF(B144="",0,IF(VALUE(LEFT(B144,1))&gt;3,VLOOKUP(VALUE(B144),PROYECCIONES!B:D,3,FALSE),0)),1 + COUNTIF($A$2:A143,"&gt;0"))</f>
        <v>0</v>
      </c>
      <c r="B144" s="52" t="s">
        <v>338</v>
      </c>
      <c r="C144" s="52" t="s">
        <v>147</v>
      </c>
      <c r="D144" s="53">
        <v>0</v>
      </c>
      <c r="E144" s="53">
        <v>132450</v>
      </c>
      <c r="F144" s="53">
        <v>0</v>
      </c>
      <c r="G144" s="53">
        <v>132450</v>
      </c>
    </row>
    <row r="145" spans="1:7">
      <c r="A145">
        <f>IFERROR(IF(B145="",0,IF(VALUE(LEFT(B145,1))&gt;3,VLOOKUP(VALUE(B145),PROYECCIONES!B:D,3,FALSE),0)),1 + COUNTIF($A$2:A144,"&gt;0"))</f>
        <v>0</v>
      </c>
      <c r="B145" s="52" t="s">
        <v>339</v>
      </c>
      <c r="C145" s="52" t="s">
        <v>148</v>
      </c>
      <c r="D145" s="53">
        <v>0</v>
      </c>
      <c r="E145" s="53">
        <v>485786.94</v>
      </c>
      <c r="F145" s="53">
        <v>0</v>
      </c>
      <c r="G145" s="53">
        <v>485786.94</v>
      </c>
    </row>
    <row r="146" spans="1:7">
      <c r="A146">
        <f>IFERROR(IF(B146="",0,IF(VALUE(LEFT(B146,1))&gt;3,VLOOKUP(VALUE(B146),PROYECCIONES!B:D,3,FALSE),0)),1 + COUNTIF($A$2:A145,"&gt;0"))</f>
        <v>0</v>
      </c>
      <c r="B146" s="52" t="s">
        <v>340</v>
      </c>
      <c r="C146" s="52" t="s">
        <v>149</v>
      </c>
      <c r="D146" s="53">
        <v>0</v>
      </c>
      <c r="E146" s="53">
        <v>500000</v>
      </c>
      <c r="F146" s="53">
        <v>0</v>
      </c>
      <c r="G146" s="53">
        <v>500000</v>
      </c>
    </row>
    <row r="147" spans="1:7">
      <c r="A147">
        <f>IFERROR(IF(B147="",0,IF(VALUE(LEFT(B147,1))&gt;3,VLOOKUP(VALUE(B147),PROYECCIONES!B:D,3,FALSE),0)),1 + COUNTIF($A$2:A146,"&gt;0"))</f>
        <v>0</v>
      </c>
      <c r="B147" s="52" t="s">
        <v>390</v>
      </c>
      <c r="C147" s="52" t="s">
        <v>201</v>
      </c>
      <c r="D147" s="53">
        <v>0</v>
      </c>
      <c r="E147" s="53">
        <v>1575009.91</v>
      </c>
      <c r="F147" s="53">
        <v>0</v>
      </c>
      <c r="G147" s="53">
        <v>1575009.91</v>
      </c>
    </row>
    <row r="148" spans="1:7">
      <c r="A148">
        <f>IFERROR(IF(B148="",0,IF(VALUE(LEFT(B148,1))&gt;3,VLOOKUP(VALUE(B148),PROYECCIONES!B:D,3,FALSE),0)),1 + COUNTIF($A$2:A147,"&gt;0"))</f>
        <v>0</v>
      </c>
      <c r="B148" s="52" t="s">
        <v>391</v>
      </c>
      <c r="C148" s="52" t="s">
        <v>104</v>
      </c>
      <c r="D148" s="53">
        <v>0</v>
      </c>
      <c r="E148" s="53">
        <v>1743000</v>
      </c>
      <c r="F148" s="53">
        <v>0</v>
      </c>
      <c r="G148" s="53">
        <v>1743000</v>
      </c>
    </row>
    <row r="149" spans="1:7">
      <c r="A149">
        <f>IFERROR(IF(B149="",0,IF(VALUE(LEFT(B149,1))&gt;3,VLOOKUP(VALUE(B149),PROYECCIONES!B:D,3,FALSE),0)),1 + COUNTIF($A$2:A148,"&gt;0"))</f>
        <v>0</v>
      </c>
      <c r="B149" s="52" t="s">
        <v>545</v>
      </c>
      <c r="C149" s="52" t="s">
        <v>105</v>
      </c>
      <c r="D149" s="53">
        <v>0</v>
      </c>
      <c r="E149" s="53">
        <v>127740</v>
      </c>
      <c r="F149" s="53">
        <v>0</v>
      </c>
      <c r="G149" s="53">
        <v>127740</v>
      </c>
    </row>
    <row r="150" spans="1:7">
      <c r="A150">
        <f>IFERROR(IF(B150="",0,IF(VALUE(LEFT(B150,1))&gt;3,VLOOKUP(VALUE(B150),PROYECCIONES!B:D,3,FALSE),0)),1 + COUNTIF($A$2:A149,"&gt;0"))</f>
        <v>0</v>
      </c>
      <c r="B150" s="52" t="s">
        <v>414</v>
      </c>
      <c r="C150" s="52" t="s">
        <v>202</v>
      </c>
      <c r="D150" s="53">
        <v>0</v>
      </c>
      <c r="E150" s="53">
        <v>378151</v>
      </c>
      <c r="F150" s="53">
        <v>0</v>
      </c>
      <c r="G150" s="53">
        <v>378151</v>
      </c>
    </row>
    <row r="151" spans="1:7">
      <c r="A151">
        <f>IFERROR(IF(B151="",0,IF(VALUE(LEFT(B151,1))&gt;3,VLOOKUP(VALUE(B151),PROYECCIONES!B:D,3,FALSE),0)),1 + COUNTIF($A$2:A150,"&gt;0"))</f>
        <v>0</v>
      </c>
      <c r="B151" s="52" t="s">
        <v>341</v>
      </c>
      <c r="C151" s="52" t="s">
        <v>154</v>
      </c>
      <c r="D151" s="53">
        <v>0</v>
      </c>
      <c r="E151" s="53">
        <v>738000</v>
      </c>
      <c r="F151" s="53">
        <v>0</v>
      </c>
      <c r="G151" s="53">
        <v>738000</v>
      </c>
    </row>
    <row r="152" spans="1:7">
      <c r="A152">
        <f>IFERROR(IF(B152="",0,IF(VALUE(LEFT(B152,1))&gt;3,VLOOKUP(VALUE(B152),PROYECCIONES!B:D,3,FALSE),0)),1 + COUNTIF($A$2:A151,"&gt;0"))</f>
        <v>0</v>
      </c>
      <c r="B152" s="52" t="s">
        <v>566</v>
      </c>
      <c r="C152" s="52" t="s">
        <v>199</v>
      </c>
      <c r="D152" s="53">
        <v>0</v>
      </c>
      <c r="E152" s="53">
        <v>65798.320000000007</v>
      </c>
      <c r="F152" s="53">
        <v>0</v>
      </c>
      <c r="G152" s="53">
        <v>65798.320000000007</v>
      </c>
    </row>
    <row r="153" spans="1:7">
      <c r="A153">
        <f>IFERROR(IF(B153="",0,IF(VALUE(LEFT(B153,1))&gt;3,VLOOKUP(VALUE(B153),PROYECCIONES!B:D,3,FALSE),0)),1 + COUNTIF($A$2:A152,"&gt;0"))</f>
        <v>0</v>
      </c>
      <c r="B153" s="52" t="s">
        <v>567</v>
      </c>
      <c r="C153" s="52" t="s">
        <v>568</v>
      </c>
      <c r="D153" s="53">
        <v>0</v>
      </c>
      <c r="E153" s="53">
        <v>2249411</v>
      </c>
      <c r="F153" s="53">
        <v>0</v>
      </c>
      <c r="G153" s="53">
        <v>2249411</v>
      </c>
    </row>
    <row r="154" spans="1:7">
      <c r="A154">
        <f>IFERROR(IF(B154="",0,IF(VALUE(LEFT(B154,1))&gt;3,VLOOKUP(VALUE(B154),PROYECCIONES!B:D,3,FALSE),0)),1 + COUNTIF($A$2:A153,"&gt;0"))</f>
        <v>0</v>
      </c>
      <c r="B154" s="52" t="s">
        <v>392</v>
      </c>
      <c r="C154" s="52" t="s">
        <v>155</v>
      </c>
      <c r="D154" s="53">
        <v>0</v>
      </c>
      <c r="E154" s="53">
        <v>840337.31</v>
      </c>
      <c r="F154" s="53">
        <v>0</v>
      </c>
      <c r="G154" s="53">
        <v>840337.31</v>
      </c>
    </row>
    <row r="155" spans="1:7">
      <c r="A155">
        <f>IFERROR(IF(B155="",0,IF(VALUE(LEFT(B155,1))&gt;3,VLOOKUP(VALUE(B155),PROYECCIONES!B:D,3,FALSE),0)),1 + COUNTIF($A$2:A154,"&gt;0"))</f>
        <v>0</v>
      </c>
      <c r="B155" s="52" t="s">
        <v>342</v>
      </c>
      <c r="C155" s="52" t="s">
        <v>156</v>
      </c>
      <c r="D155" s="53">
        <v>0</v>
      </c>
      <c r="E155" s="53">
        <v>8421071.2599999998</v>
      </c>
      <c r="F155" s="53">
        <v>0</v>
      </c>
      <c r="G155" s="53">
        <v>8421071.2599999998</v>
      </c>
    </row>
    <row r="156" spans="1:7">
      <c r="A156">
        <f>IFERROR(IF(B156="",0,IF(VALUE(LEFT(B156,1))&gt;3,VLOOKUP(VALUE(B156),PROYECCIONES!B:D,3,FALSE),0)),1 + COUNTIF($A$2:A155,"&gt;0"))</f>
        <v>0</v>
      </c>
      <c r="B156" s="52" t="s">
        <v>343</v>
      </c>
      <c r="C156" s="52" t="s">
        <v>157</v>
      </c>
      <c r="D156" s="53">
        <v>0</v>
      </c>
      <c r="E156" s="53">
        <v>1050000</v>
      </c>
      <c r="F156" s="53">
        <v>0</v>
      </c>
      <c r="G156" s="53">
        <v>1050000</v>
      </c>
    </row>
    <row r="157" spans="1:7">
      <c r="A157">
        <f>IFERROR(IF(B157="",0,IF(VALUE(LEFT(B157,1))&gt;3,VLOOKUP(VALUE(B157),PROYECCIONES!B:D,3,FALSE),0)),1 + COUNTIF($A$2:A156,"&gt;0"))</f>
        <v>0</v>
      </c>
      <c r="B157" s="52" t="s">
        <v>569</v>
      </c>
      <c r="C157" s="52" t="s">
        <v>158</v>
      </c>
      <c r="D157" s="53">
        <v>0</v>
      </c>
      <c r="E157" s="53">
        <v>16600</v>
      </c>
      <c r="F157" s="53">
        <v>0</v>
      </c>
      <c r="G157" s="53">
        <v>16600</v>
      </c>
    </row>
    <row r="158" spans="1:7">
      <c r="A158">
        <f>IFERROR(IF(B158="",0,IF(VALUE(LEFT(B158,1))&gt;3,VLOOKUP(VALUE(B158),PROYECCIONES!B:D,3,FALSE),0)),1 + COUNTIF($A$2:A157,"&gt;0"))</f>
        <v>0</v>
      </c>
      <c r="B158" s="52" t="s">
        <v>546</v>
      </c>
      <c r="C158" s="52" t="s">
        <v>409</v>
      </c>
      <c r="D158" s="53">
        <v>0</v>
      </c>
      <c r="E158" s="53">
        <v>1411947.63</v>
      </c>
      <c r="F158" s="53">
        <v>0</v>
      </c>
      <c r="G158" s="53">
        <v>1411947.63</v>
      </c>
    </row>
    <row r="159" spans="1:7">
      <c r="A159">
        <f>IFERROR(IF(B159="",0,IF(VALUE(LEFT(B159,1))&gt;3,VLOOKUP(VALUE(B159),PROYECCIONES!B:D,3,FALSE),0)),1 + COUNTIF($A$2:A158,"&gt;0"))</f>
        <v>0</v>
      </c>
      <c r="B159" s="52" t="s">
        <v>91</v>
      </c>
      <c r="C159" s="52" t="s">
        <v>159</v>
      </c>
      <c r="D159" s="53">
        <v>0</v>
      </c>
      <c r="E159" s="53">
        <v>9600</v>
      </c>
      <c r="F159" s="53">
        <v>0</v>
      </c>
      <c r="G159" s="53">
        <v>9600</v>
      </c>
    </row>
    <row r="160" spans="1:7">
      <c r="A160">
        <f>IFERROR(IF(B160="",0,IF(VALUE(LEFT(B160,1))&gt;3,VLOOKUP(VALUE(B160),PROYECCIONES!B:D,3,FALSE),0)),1 + COUNTIF($A$2:A159,"&gt;0"))</f>
        <v>0</v>
      </c>
      <c r="B160" s="52" t="s">
        <v>344</v>
      </c>
      <c r="C160" s="52" t="s">
        <v>160</v>
      </c>
      <c r="D160" s="53">
        <v>-1.8626451492309599E-9</v>
      </c>
      <c r="E160" s="53">
        <v>1058191.3999999999</v>
      </c>
      <c r="F160" s="53">
        <v>0</v>
      </c>
      <c r="G160" s="53">
        <v>1058191.3999999999</v>
      </c>
    </row>
    <row r="161" spans="1:7">
      <c r="A161">
        <f>IFERROR(IF(B161="",0,IF(VALUE(LEFT(B161,1))&gt;3,VLOOKUP(VALUE(B161),PROYECCIONES!B:D,3,FALSE),0)),1 + COUNTIF($A$2:A160,"&gt;0"))</f>
        <v>0</v>
      </c>
      <c r="B161" s="52" t="s">
        <v>570</v>
      </c>
      <c r="C161" s="52" t="s">
        <v>161</v>
      </c>
      <c r="D161" s="53">
        <v>-2.3283064365386999E-10</v>
      </c>
      <c r="E161" s="53">
        <v>136666.67000000001</v>
      </c>
      <c r="F161" s="53">
        <v>0</v>
      </c>
      <c r="G161" s="53">
        <v>136666.67000000001</v>
      </c>
    </row>
    <row r="162" spans="1:7">
      <c r="A162">
        <f>IFERROR(IF(B162="",0,IF(VALUE(LEFT(B162,1))&gt;3,VLOOKUP(VALUE(B162),PROYECCIONES!B:D,3,FALSE),0)),1 + COUNTIF($A$2:A161,"&gt;0"))</f>
        <v>0</v>
      </c>
      <c r="B162" s="52" t="s">
        <v>345</v>
      </c>
      <c r="C162" s="52" t="s">
        <v>162</v>
      </c>
      <c r="D162" s="53">
        <v>1.8626451492309599E-9</v>
      </c>
      <c r="E162" s="53">
        <v>2562083.35</v>
      </c>
      <c r="F162" s="53">
        <v>0</v>
      </c>
      <c r="G162" s="53">
        <v>2562083.35</v>
      </c>
    </row>
    <row r="163" spans="1:7">
      <c r="A163">
        <f>IFERROR(IF(B163="",0,IF(VALUE(LEFT(B163,1))&gt;3,VLOOKUP(VALUE(B163),PROYECCIONES!B:D,3,FALSE),0)),1 + COUNTIF($A$2:A162,"&gt;0"))</f>
        <v>0</v>
      </c>
      <c r="B163" s="52" t="s">
        <v>368</v>
      </c>
      <c r="C163" s="52" t="s">
        <v>163</v>
      </c>
      <c r="D163" s="53">
        <v>0</v>
      </c>
      <c r="E163" s="53">
        <v>724900</v>
      </c>
      <c r="F163" s="53">
        <v>0</v>
      </c>
      <c r="G163" s="53">
        <v>724900</v>
      </c>
    </row>
    <row r="164" spans="1:7">
      <c r="A164">
        <f>IFERROR(IF(B164="",0,IF(VALUE(LEFT(B164,1))&gt;3,VLOOKUP(VALUE(B164),PROYECCIONES!B:D,3,FALSE),0)),1 + COUNTIF($A$2:A163,"&gt;0"))</f>
        <v>0</v>
      </c>
      <c r="B164" s="52" t="s">
        <v>393</v>
      </c>
      <c r="C164" s="52" t="s">
        <v>164</v>
      </c>
      <c r="D164" s="53">
        <v>0</v>
      </c>
      <c r="E164" s="53">
        <v>9000000</v>
      </c>
      <c r="F164" s="53">
        <v>0</v>
      </c>
      <c r="G164" s="53">
        <v>9000000</v>
      </c>
    </row>
    <row r="165" spans="1:7">
      <c r="A165">
        <f>IFERROR(IF(B165="",0,IF(VALUE(LEFT(B165,1))&gt;3,VLOOKUP(VALUE(B165),PROYECCIONES!B:D,3,FALSE),0)),1 + COUNTIF($A$2:A164,"&gt;0"))</f>
        <v>0</v>
      </c>
      <c r="B165" s="52" t="s">
        <v>369</v>
      </c>
      <c r="C165" s="52" t="s">
        <v>165</v>
      </c>
      <c r="D165" s="53">
        <v>-2.3283064365386999E-10</v>
      </c>
      <c r="E165" s="53">
        <v>382109</v>
      </c>
      <c r="F165" s="53">
        <v>0</v>
      </c>
      <c r="G165" s="53">
        <v>382109</v>
      </c>
    </row>
    <row r="166" spans="1:7">
      <c r="A166">
        <f>IFERROR(IF(B166="",0,IF(VALUE(LEFT(B166,1))&gt;3,VLOOKUP(VALUE(B166),PROYECCIONES!B:D,3,FALSE),0)),1 + COUNTIF($A$2:A165,"&gt;0"))</f>
        <v>0</v>
      </c>
      <c r="B166" s="52" t="s">
        <v>346</v>
      </c>
      <c r="C166" s="52" t="s">
        <v>166</v>
      </c>
      <c r="D166" s="53">
        <v>2.3283064365386999E-10</v>
      </c>
      <c r="E166" s="53">
        <v>222030</v>
      </c>
      <c r="F166" s="53">
        <v>0</v>
      </c>
      <c r="G166" s="53">
        <v>222030</v>
      </c>
    </row>
    <row r="167" spans="1:7">
      <c r="A167">
        <f>IFERROR(IF(B167="",0,IF(VALUE(LEFT(B167,1))&gt;3,VLOOKUP(VALUE(B167),PROYECCIONES!B:D,3,FALSE),0)),1 + COUNTIF($A$2:A166,"&gt;0"))</f>
        <v>0</v>
      </c>
      <c r="B167" s="52" t="s">
        <v>347</v>
      </c>
      <c r="C167" s="52" t="s">
        <v>167</v>
      </c>
      <c r="D167" s="53">
        <v>1.8626451492309599E-9</v>
      </c>
      <c r="E167" s="53">
        <v>73952</v>
      </c>
      <c r="F167" s="53">
        <v>0</v>
      </c>
      <c r="G167" s="53">
        <v>73952.000000001906</v>
      </c>
    </row>
    <row r="168" spans="1:7">
      <c r="A168">
        <f>IFERROR(IF(B168="",0,IF(VALUE(LEFT(B168,1))&gt;3,VLOOKUP(VALUE(B168),PROYECCIONES!B:D,3,FALSE),0)),1 + COUNTIF($A$2:A167,"&gt;0"))</f>
        <v>0</v>
      </c>
      <c r="B168" s="52" t="s">
        <v>394</v>
      </c>
      <c r="C168" s="52" t="s">
        <v>168</v>
      </c>
      <c r="D168" s="53">
        <v>0</v>
      </c>
      <c r="E168" s="53">
        <v>110000</v>
      </c>
      <c r="F168" s="53">
        <v>0</v>
      </c>
      <c r="G168" s="53">
        <v>110000</v>
      </c>
    </row>
    <row r="169" spans="1:7">
      <c r="A169">
        <f>IFERROR(IF(B169="",0,IF(VALUE(LEFT(B169,1))&gt;3,VLOOKUP(VALUE(B169),PROYECCIONES!B:D,3,FALSE),0)),1 + COUNTIF($A$2:A168,"&gt;0"))</f>
        <v>0</v>
      </c>
      <c r="B169" s="52" t="s">
        <v>442</v>
      </c>
      <c r="C169" s="52" t="s">
        <v>443</v>
      </c>
      <c r="D169" s="53">
        <v>0</v>
      </c>
      <c r="E169" s="53">
        <v>5000</v>
      </c>
      <c r="F169" s="53">
        <v>0</v>
      </c>
      <c r="G169" s="53">
        <v>5000</v>
      </c>
    </row>
    <row r="170" spans="1:7">
      <c r="A170">
        <f>IFERROR(IF(B170="",0,IF(VALUE(LEFT(B170,1))&gt;3,VLOOKUP(VALUE(B170),PROYECCIONES!B:D,3,FALSE),0)),1 + COUNTIF($A$2:A169,"&gt;0"))</f>
        <v>0</v>
      </c>
      <c r="B170" s="52" t="s">
        <v>348</v>
      </c>
      <c r="C170" s="52" t="s">
        <v>106</v>
      </c>
      <c r="D170" s="53">
        <v>0</v>
      </c>
      <c r="E170" s="53">
        <v>1894233.91</v>
      </c>
      <c r="F170" s="53">
        <v>0</v>
      </c>
      <c r="G170" s="53">
        <v>1894233.91</v>
      </c>
    </row>
    <row r="171" spans="1:7">
      <c r="A171">
        <f>IFERROR(IF(B171="",0,IF(VALUE(LEFT(B171,1))&gt;3,VLOOKUP(VALUE(B171),PROYECCIONES!B:D,3,FALSE),0)),1 + COUNTIF($A$2:A170,"&gt;0"))</f>
        <v>0</v>
      </c>
      <c r="B171" s="52" t="s">
        <v>370</v>
      </c>
      <c r="C171" s="52" t="s">
        <v>169</v>
      </c>
      <c r="D171" s="53">
        <v>0</v>
      </c>
      <c r="E171" s="53">
        <v>9928.5400000000009</v>
      </c>
      <c r="F171" s="53">
        <v>0</v>
      </c>
      <c r="G171" s="53">
        <v>9928.5400000000009</v>
      </c>
    </row>
    <row r="172" spans="1:7">
      <c r="A172">
        <f>IFERROR(IF(B172="",0,IF(VALUE(LEFT(B172,1))&gt;3,VLOOKUP(VALUE(B172),PROYECCIONES!B:D,3,FALSE),0)),1 + COUNTIF($A$2:A171,"&gt;0"))</f>
        <v>0</v>
      </c>
      <c r="B172" s="52" t="s">
        <v>371</v>
      </c>
      <c r="C172" s="52" t="s">
        <v>197</v>
      </c>
      <c r="D172" s="53">
        <v>0</v>
      </c>
      <c r="E172" s="53">
        <v>70000</v>
      </c>
      <c r="F172" s="53">
        <v>0</v>
      </c>
      <c r="G172" s="53">
        <v>70000</v>
      </c>
    </row>
    <row r="173" spans="1:7">
      <c r="A173">
        <f>IFERROR(IF(B173="",0,IF(VALUE(LEFT(B173,1))&gt;3,VLOOKUP(VALUE(B173),PROYECCIONES!B:D,3,FALSE),0)),1 + COUNTIF($A$2:A172,"&gt;0"))</f>
        <v>0</v>
      </c>
      <c r="B173" s="52" t="s">
        <v>349</v>
      </c>
      <c r="C173" s="52" t="s">
        <v>170</v>
      </c>
      <c r="D173" s="53">
        <v>-2.2351741790771501E-8</v>
      </c>
      <c r="E173" s="53">
        <v>8679592.8900000006</v>
      </c>
      <c r="F173" s="53">
        <v>0</v>
      </c>
      <c r="G173" s="53">
        <v>8679592.8899999708</v>
      </c>
    </row>
    <row r="174" spans="1:7">
      <c r="A174">
        <f>IFERROR(IF(B174="",0,IF(VALUE(LEFT(B174,1))&gt;3,VLOOKUP(VALUE(B174),PROYECCIONES!B:D,3,FALSE),0)),1 + COUNTIF($A$2:A173,"&gt;0"))</f>
        <v>0</v>
      </c>
      <c r="B174" s="52" t="s">
        <v>547</v>
      </c>
      <c r="C174" s="52" t="s">
        <v>190</v>
      </c>
      <c r="D174" s="53">
        <v>-4.65661287307739E-10</v>
      </c>
      <c r="E174" s="53">
        <v>50756.3</v>
      </c>
      <c r="F174" s="53">
        <v>0</v>
      </c>
      <c r="G174" s="53">
        <v>50756.299999999603</v>
      </c>
    </row>
    <row r="175" spans="1:7">
      <c r="A175">
        <f>IFERROR(IF(B175="",0,IF(VALUE(LEFT(B175,1))&gt;3,VLOOKUP(VALUE(B175),PROYECCIONES!B:D,3,FALSE),0)),1 + COUNTIF($A$2:A174,"&gt;0"))</f>
        <v>0</v>
      </c>
      <c r="B175" s="52" t="s">
        <v>533</v>
      </c>
      <c r="C175" s="52" t="s">
        <v>534</v>
      </c>
      <c r="D175" s="53">
        <v>0</v>
      </c>
      <c r="E175" s="53">
        <v>2322904.77</v>
      </c>
      <c r="F175" s="53">
        <v>0</v>
      </c>
      <c r="G175" s="53">
        <v>2322904.77</v>
      </c>
    </row>
    <row r="176" spans="1:7">
      <c r="A176">
        <f>IFERROR(IF(B176="",0,IF(VALUE(LEFT(B176,1))&gt;3,VLOOKUP(VALUE(B176),PROYECCIONES!B:D,3,FALSE),0)),1 + COUNTIF($A$2:A175,"&gt;0"))</f>
        <v>0</v>
      </c>
      <c r="B176" s="52" t="s">
        <v>571</v>
      </c>
      <c r="C176" s="52" t="s">
        <v>124</v>
      </c>
      <c r="D176" s="53">
        <v>0</v>
      </c>
      <c r="E176" s="53">
        <v>300000</v>
      </c>
      <c r="F176" s="53">
        <v>0</v>
      </c>
      <c r="G176" s="53">
        <v>300000</v>
      </c>
    </row>
    <row r="177" spans="1:7">
      <c r="A177">
        <f>IFERROR(IF(B177="",0,IF(VALUE(LEFT(B177,1))&gt;3,VLOOKUP(VALUE(B177),PROYECCIONES!B:D,3,FALSE),0)),1 + COUNTIF($A$2:A176,"&gt;0"))</f>
        <v>0</v>
      </c>
      <c r="B177" s="52" t="s">
        <v>466</v>
      </c>
      <c r="C177" s="52" t="s">
        <v>467</v>
      </c>
      <c r="D177" s="53">
        <v>0</v>
      </c>
      <c r="E177" s="53">
        <v>18000</v>
      </c>
      <c r="F177" s="53">
        <v>0</v>
      </c>
      <c r="G177" s="53">
        <v>18000</v>
      </c>
    </row>
    <row r="178" spans="1:7">
      <c r="A178">
        <f>IFERROR(IF(B178="",0,IF(VALUE(LEFT(B178,1))&gt;3,VLOOKUP(VALUE(B178),PROYECCIONES!B:D,3,FALSE),0)),1 + COUNTIF($A$2:A177,"&gt;0"))</f>
        <v>0</v>
      </c>
      <c r="B178" s="52" t="s">
        <v>350</v>
      </c>
      <c r="C178" s="52" t="s">
        <v>174</v>
      </c>
      <c r="D178" s="53">
        <v>0</v>
      </c>
      <c r="E178" s="53">
        <v>6047498.7699999996</v>
      </c>
      <c r="F178" s="53">
        <v>0</v>
      </c>
      <c r="G178" s="53">
        <v>6047498.7699999996</v>
      </c>
    </row>
    <row r="179" spans="1:7">
      <c r="A179">
        <f>IFERROR(IF(B179="",0,IF(VALUE(LEFT(B179,1))&gt;3,VLOOKUP(VALUE(B179),PROYECCIONES!B:D,3,FALSE),0)),1 + COUNTIF($A$2:A178,"&gt;0"))</f>
        <v>0</v>
      </c>
      <c r="B179" s="52" t="s">
        <v>422</v>
      </c>
      <c r="C179" s="52" t="s">
        <v>423</v>
      </c>
      <c r="D179" s="53">
        <v>0</v>
      </c>
      <c r="E179" s="53">
        <v>3163053.98</v>
      </c>
      <c r="F179" s="53">
        <v>0</v>
      </c>
      <c r="G179" s="53">
        <v>3163053.98</v>
      </c>
    </row>
    <row r="180" spans="1:7">
      <c r="A180">
        <f>IFERROR(IF(B180="",0,IF(VALUE(LEFT(B180,1))&gt;3,VLOOKUP(VALUE(B180),PROYECCIONES!B:D,3,FALSE),0)),1 + COUNTIF($A$2:A179,"&gt;0"))</f>
        <v>0</v>
      </c>
      <c r="B180" s="52" t="s">
        <v>351</v>
      </c>
      <c r="C180" s="52" t="s">
        <v>178</v>
      </c>
      <c r="D180" s="53">
        <v>0</v>
      </c>
      <c r="E180" s="53">
        <v>553505.06000000006</v>
      </c>
      <c r="F180" s="53">
        <v>0</v>
      </c>
      <c r="G180" s="53">
        <v>553505.06000000099</v>
      </c>
    </row>
    <row r="181" spans="1:7">
      <c r="A181">
        <f>IFERROR(IF(B181="",0,IF(VALUE(LEFT(B181,1))&gt;3,VLOOKUP(VALUE(B181),PROYECCIONES!B:D,3,FALSE),0)),1 + COUNTIF($A$2:A180,"&gt;0"))</f>
        <v>0</v>
      </c>
      <c r="B181" s="52" t="s">
        <v>352</v>
      </c>
      <c r="C181" s="52" t="s">
        <v>179</v>
      </c>
      <c r="D181" s="53">
        <v>0</v>
      </c>
      <c r="E181" s="53">
        <v>436371</v>
      </c>
      <c r="F181" s="53">
        <v>0</v>
      </c>
      <c r="G181" s="53">
        <v>436371</v>
      </c>
    </row>
    <row r="182" spans="1:7">
      <c r="A182">
        <f>IFERROR(IF(B182="",0,IF(VALUE(LEFT(B182,1))&gt;3,VLOOKUP(VALUE(B182),PROYECCIONES!B:D,3,FALSE),0)),1 + COUNTIF($A$2:A181,"&gt;0"))</f>
        <v>0</v>
      </c>
      <c r="B182" s="52" t="s">
        <v>397</v>
      </c>
      <c r="C182" s="52" t="s">
        <v>180</v>
      </c>
      <c r="D182" s="53">
        <v>0</v>
      </c>
      <c r="E182" s="53">
        <v>2648171</v>
      </c>
      <c r="F182" s="53">
        <v>0</v>
      </c>
      <c r="G182" s="53">
        <v>2648171</v>
      </c>
    </row>
    <row r="183" spans="1:7">
      <c r="A183">
        <f>IFERROR(IF(B183="",0,IF(VALUE(LEFT(B183,1))&gt;3,VLOOKUP(VALUE(B183),PROYECCIONES!B:D,3,FALSE),0)),1 + COUNTIF($A$2:A182,"&gt;0"))</f>
        <v>0</v>
      </c>
      <c r="B183" s="52" t="s">
        <v>353</v>
      </c>
      <c r="C183" s="52" t="s">
        <v>181</v>
      </c>
      <c r="D183" s="53">
        <v>0</v>
      </c>
      <c r="E183" s="53">
        <v>2966656.72</v>
      </c>
      <c r="F183" s="53">
        <v>0</v>
      </c>
      <c r="G183" s="53">
        <v>2966656.72</v>
      </c>
    </row>
    <row r="184" spans="1:7">
      <c r="A184">
        <f>IFERROR(IF(B184="",0,IF(VALUE(LEFT(B184,1))&gt;3,VLOOKUP(VALUE(B184),PROYECCIONES!B:D,3,FALSE),0)),1 + COUNTIF($A$2:A183,"&gt;0"))</f>
        <v>0</v>
      </c>
      <c r="B184" s="52" t="s">
        <v>535</v>
      </c>
      <c r="C184" s="52" t="s">
        <v>183</v>
      </c>
      <c r="D184" s="53">
        <v>0</v>
      </c>
      <c r="E184" s="53">
        <v>389758.58</v>
      </c>
      <c r="F184" s="53">
        <v>0</v>
      </c>
      <c r="G184" s="53">
        <v>389758.58</v>
      </c>
    </row>
    <row r="185" spans="1:7">
      <c r="A185">
        <f>IFERROR(IF(B185="",0,IF(VALUE(LEFT(B185,1))&gt;3,VLOOKUP(VALUE(B185),PROYECCIONES!B:D,3,FALSE),0)),1 + COUNTIF($A$2:A184,"&gt;0"))</f>
        <v>0</v>
      </c>
      <c r="B185" s="52" t="s">
        <v>354</v>
      </c>
      <c r="C185" s="52" t="s">
        <v>107</v>
      </c>
      <c r="D185" s="53">
        <v>0</v>
      </c>
      <c r="E185" s="53">
        <v>31068.59</v>
      </c>
      <c r="F185" s="53">
        <v>0</v>
      </c>
      <c r="G185" s="53">
        <v>31068.590000000098</v>
      </c>
    </row>
    <row r="186" spans="1:7">
      <c r="A186">
        <f>IFERROR(IF(B186="",0,IF(VALUE(LEFT(B186,1))&gt;3,VLOOKUP(VALUE(B186),PROYECCIONES!B:D,3,FALSE),0)),1 + COUNTIF($A$2:A185,"&gt;0"))</f>
        <v>0</v>
      </c>
      <c r="B186" s="52" t="s">
        <v>572</v>
      </c>
      <c r="C186" s="52" t="s">
        <v>573</v>
      </c>
      <c r="D186" s="53">
        <v>0</v>
      </c>
      <c r="E186" s="53">
        <v>64670</v>
      </c>
      <c r="F186" s="53">
        <v>0</v>
      </c>
      <c r="G186" s="53">
        <v>64670</v>
      </c>
    </row>
    <row r="187" spans="1:7">
      <c r="A187">
        <f>IFERROR(IF(B187="",0,IF(VALUE(LEFT(B187,1))&gt;3,VLOOKUP(VALUE(B187),PROYECCIONES!B:D,3,FALSE),0)),1 + COUNTIF($A$2:A186,"&gt;0"))</f>
        <v>0</v>
      </c>
      <c r="B187" s="52" t="s">
        <v>574</v>
      </c>
      <c r="C187" s="52" t="s">
        <v>575</v>
      </c>
      <c r="D187" s="53">
        <v>0</v>
      </c>
      <c r="E187" s="53">
        <v>18221.28</v>
      </c>
      <c r="F187" s="53">
        <v>0</v>
      </c>
      <c r="G187" s="53">
        <v>18221.28</v>
      </c>
    </row>
    <row r="188" spans="1:7">
      <c r="A188">
        <f>IFERROR(IF(B188="",0,IF(VALUE(LEFT(B188,1))&gt;3,VLOOKUP(VALUE(B188),PROYECCIONES!B:D,3,FALSE),0)),1 + COUNTIF($A$2:A187,"&gt;0"))</f>
        <v>0</v>
      </c>
      <c r="B188" s="52" t="s">
        <v>372</v>
      </c>
      <c r="C188" s="52" t="s">
        <v>184</v>
      </c>
      <c r="D188" s="53">
        <v>0</v>
      </c>
      <c r="E188" s="53">
        <v>182000</v>
      </c>
      <c r="F188" s="53">
        <v>0</v>
      </c>
      <c r="G188" s="53">
        <v>182000</v>
      </c>
    </row>
    <row r="189" spans="1:7">
      <c r="A189">
        <f>IFERROR(IF(B189="",0,IF(VALUE(LEFT(B189,1))&gt;3,VLOOKUP(VALUE(B189),PROYECCIONES!B:D,3,FALSE),0)),1 + COUNTIF($A$2:A188,"&gt;0"))</f>
        <v>0</v>
      </c>
      <c r="B189" s="52" t="s">
        <v>355</v>
      </c>
      <c r="C189" s="52" t="s">
        <v>185</v>
      </c>
      <c r="D189" s="53">
        <v>0</v>
      </c>
      <c r="E189" s="53">
        <v>750000</v>
      </c>
      <c r="F189" s="53">
        <v>0</v>
      </c>
      <c r="G189" s="53">
        <v>750000</v>
      </c>
    </row>
    <row r="190" spans="1:7">
      <c r="A190">
        <f>IFERROR(IF(B190="",0,IF(VALUE(LEFT(B190,1))&gt;3,VLOOKUP(VALUE(B190),PROYECCIONES!B:D,3,FALSE),0)),1 + COUNTIF($A$2:A189,"&gt;0"))</f>
        <v>0</v>
      </c>
      <c r="B190" s="52" t="s">
        <v>356</v>
      </c>
      <c r="C190" s="52" t="s">
        <v>99</v>
      </c>
      <c r="D190" s="53">
        <v>-3.4924596548080398E-10</v>
      </c>
      <c r="E190" s="53">
        <v>4350.1499999999996</v>
      </c>
      <c r="F190" s="53">
        <v>374.62</v>
      </c>
      <c r="G190" s="53">
        <v>3975.5299999996801</v>
      </c>
    </row>
    <row r="191" spans="1:7">
      <c r="A191">
        <f>IFERROR(IF(B191="",0,IF(VALUE(LEFT(B191,1))&gt;3,VLOOKUP(VALUE(B191),PROYECCIONES!B:D,3,FALSE),0)),1 + COUNTIF($A$2:A190,"&gt;0"))</f>
        <v>0</v>
      </c>
      <c r="B191" s="52" t="s">
        <v>415</v>
      </c>
      <c r="C191" s="52" t="s">
        <v>100</v>
      </c>
      <c r="D191" s="53">
        <v>0</v>
      </c>
      <c r="E191" s="53">
        <v>43098334</v>
      </c>
      <c r="F191" s="53">
        <v>0</v>
      </c>
      <c r="G191" s="53">
        <v>43098334</v>
      </c>
    </row>
    <row r="192" spans="1:7">
      <c r="A192">
        <f>IFERROR(IF(B192="",0,IF(VALUE(LEFT(B192,1))&gt;3,VLOOKUP(VALUE(B192),PROYECCIONES!B:D,3,FALSE),0)),1 + COUNTIF($A$2:A191,"&gt;0"))</f>
        <v>0</v>
      </c>
      <c r="B192" s="52" t="s">
        <v>416</v>
      </c>
      <c r="C192" s="52" t="s">
        <v>101</v>
      </c>
      <c r="D192" s="53">
        <v>0</v>
      </c>
      <c r="E192" s="53">
        <v>1650909</v>
      </c>
      <c r="F192" s="53">
        <v>0</v>
      </c>
      <c r="G192" s="53">
        <v>1650909</v>
      </c>
    </row>
    <row r="193" spans="1:7">
      <c r="A193">
        <f>IFERROR(IF(B193="",0,IF(VALUE(LEFT(B193,1))&gt;3,VLOOKUP(VALUE(B193),PROYECCIONES!B:D,3,FALSE),0)),1 + COUNTIF($A$2:A192,"&gt;0"))</f>
        <v>0</v>
      </c>
      <c r="B193" s="52" t="s">
        <v>398</v>
      </c>
      <c r="C193" s="52" t="s">
        <v>96</v>
      </c>
      <c r="D193" s="53">
        <v>0</v>
      </c>
      <c r="E193" s="53">
        <v>3917300</v>
      </c>
      <c r="F193" s="53">
        <v>0</v>
      </c>
      <c r="G193" s="53">
        <v>3917300</v>
      </c>
    </row>
    <row r="194" spans="1:7">
      <c r="A194">
        <f>IFERROR(IF(B194="",0,IF(VALUE(LEFT(B194,1))&gt;3,VLOOKUP(VALUE(B194),PROYECCIONES!B:D,3,FALSE),0)),1 + COUNTIF($A$2:A193,"&gt;0"))</f>
        <v>0</v>
      </c>
      <c r="B194" s="52" t="s">
        <v>399</v>
      </c>
      <c r="C194" s="52" t="s">
        <v>97</v>
      </c>
      <c r="D194" s="53">
        <v>0</v>
      </c>
      <c r="E194" s="53">
        <v>3917300</v>
      </c>
      <c r="F194" s="53">
        <v>0</v>
      </c>
      <c r="G194" s="53">
        <v>3917300</v>
      </c>
    </row>
    <row r="195" spans="1:7">
      <c r="A195">
        <f>IFERROR(IF(B195="",0,IF(VALUE(LEFT(B195,1))&gt;3,VLOOKUP(VALUE(B195),PROYECCIONES!B:D,3,FALSE),0)),1 + COUNTIF($A$2:A194,"&gt;0"))</f>
        <v>0</v>
      </c>
      <c r="B195" s="52" t="s">
        <v>400</v>
      </c>
      <c r="C195" s="52" t="s">
        <v>98</v>
      </c>
      <c r="D195" s="53">
        <v>0</v>
      </c>
      <c r="E195" s="53">
        <v>1885420</v>
      </c>
      <c r="F195" s="53">
        <v>0</v>
      </c>
      <c r="G195" s="53">
        <v>1885420</v>
      </c>
    </row>
    <row r="196" spans="1:7">
      <c r="A196">
        <f>IFERROR(IF(B196="",0,IF(VALUE(LEFT(B196,1))&gt;3,VLOOKUP(VALUE(B196),PROYECCIONES!B:D,3,FALSE),0)),1 + COUNTIF($A$2:A195,"&gt;0"))</f>
        <v>0</v>
      </c>
      <c r="B196" s="52" t="s">
        <v>401</v>
      </c>
      <c r="C196" s="52" t="s">
        <v>204</v>
      </c>
      <c r="D196" s="53">
        <v>0</v>
      </c>
      <c r="E196" s="53">
        <v>235815</v>
      </c>
      <c r="F196" s="53">
        <v>0</v>
      </c>
      <c r="G196" s="53">
        <v>235815</v>
      </c>
    </row>
    <row r="197" spans="1:7">
      <c r="A197">
        <f>IFERROR(IF(B197="",0,IF(VALUE(LEFT(B197,1))&gt;3,VLOOKUP(VALUE(B197),PROYECCIONES!B:D,3,FALSE),0)),1 + COUNTIF($A$2:A196,"&gt;0"))</f>
        <v>0</v>
      </c>
      <c r="B197" s="52" t="s">
        <v>402</v>
      </c>
      <c r="C197" s="52" t="s">
        <v>205</v>
      </c>
      <c r="D197" s="53">
        <v>0</v>
      </c>
      <c r="E197" s="53">
        <v>5421000</v>
      </c>
      <c r="F197" s="53">
        <v>0</v>
      </c>
      <c r="G197" s="53">
        <v>5421000</v>
      </c>
    </row>
    <row r="198" spans="1:7">
      <c r="A198">
        <f>IFERROR(IF(B198="",0,IF(VALUE(LEFT(B198,1))&gt;3,VLOOKUP(VALUE(B198),PROYECCIONES!B:D,3,FALSE),0)),1 + COUNTIF($A$2:A197,"&gt;0"))</f>
        <v>0</v>
      </c>
      <c r="B198" s="52" t="s">
        <v>403</v>
      </c>
      <c r="C198" s="52" t="s">
        <v>206</v>
      </c>
      <c r="D198" s="53">
        <v>0</v>
      </c>
      <c r="E198" s="53">
        <v>1807000</v>
      </c>
      <c r="F198" s="53">
        <v>0</v>
      </c>
      <c r="G198" s="53">
        <v>1807000</v>
      </c>
    </row>
    <row r="199" spans="1:7">
      <c r="A199">
        <f>IFERROR(IF(B199="",0,IF(VALUE(LEFT(B199,1))&gt;3,VLOOKUP(VALUE(B199),PROYECCIONES!B:D,3,FALSE),0)),1 + COUNTIF($A$2:A198,"&gt;0"))</f>
        <v>0</v>
      </c>
      <c r="B199" s="52" t="s">
        <v>417</v>
      </c>
      <c r="C199" s="52" t="s">
        <v>164</v>
      </c>
      <c r="D199" s="53">
        <v>0</v>
      </c>
      <c r="E199" s="53">
        <v>12000000</v>
      </c>
      <c r="F199" s="53">
        <v>0</v>
      </c>
      <c r="G199" s="53">
        <v>12000000</v>
      </c>
    </row>
    <row r="200" spans="1:7">
      <c r="A200">
        <f>IFERROR(IF(B200="",0,IF(VALUE(LEFT(B200,1))&gt;3,VLOOKUP(VALUE(B200),PROYECCIONES!B:D,3,FALSE),0)),1 + COUNTIF($A$2:A199,"&gt;0"))</f>
        <v>0</v>
      </c>
      <c r="B200" s="52" t="s">
        <v>404</v>
      </c>
      <c r="C200" s="52" t="s">
        <v>102</v>
      </c>
      <c r="D200" s="53">
        <v>0</v>
      </c>
      <c r="E200" s="53">
        <v>470080</v>
      </c>
      <c r="F200" s="53">
        <v>0</v>
      </c>
      <c r="G200" s="53">
        <v>470080</v>
      </c>
    </row>
    <row r="201" spans="1:7">
      <c r="A201">
        <f>IFERROR(IF(B201="",0,IF(VALUE(LEFT(B201,1))&gt;3,VLOOKUP(VALUE(B201),PROYECCIONES!B:D,3,FALSE),0)),1 + COUNTIF($A$2:A200,"&gt;0"))</f>
        <v>0</v>
      </c>
      <c r="B201" s="52" t="s">
        <v>357</v>
      </c>
      <c r="C201" s="52" t="s">
        <v>357</v>
      </c>
      <c r="D201" s="53">
        <v>0</v>
      </c>
      <c r="E201" s="53" t="s">
        <v>613</v>
      </c>
      <c r="F201" s="53" t="s">
        <v>613</v>
      </c>
      <c r="G201" s="53">
        <v>0</v>
      </c>
    </row>
    <row r="202" spans="1:7">
      <c r="A202">
        <f>IFERROR(IF(B202="",0,IF(VALUE(LEFT(B202,1))&gt;3,VLOOKUP(VALUE(B202),PROYECCIONES!B:D,3,FALSE),0)),1 + COUNTIF($A$2:A201,"&gt;0"))</f>
        <v>0</v>
      </c>
    </row>
    <row r="203" spans="1:7">
      <c r="A203">
        <f>IFERROR(IF(B203="",0,IF(VALUE(LEFT(B203,1))&gt;3,VLOOKUP(VALUE(B203),PROYECCIONES!B:D,3,FALSE),0)),1 + COUNTIF($A$2:A202,"&gt;0"))</f>
        <v>0</v>
      </c>
    </row>
    <row r="204" spans="1:7">
      <c r="A204">
        <f>IFERROR(IF(B204="",0,IF(VALUE(LEFT(B204,1))&gt;3,VLOOKUP(VALUE(B204),PROYECCIONES!B:D,3,FALSE),0)),1 + COUNTIF($A$2:A203,"&gt;0"))</f>
        <v>0</v>
      </c>
    </row>
    <row r="205" spans="1:7">
      <c r="A205">
        <f>IFERROR(IF(B205="",0,IF(VALUE(LEFT(B205,1))&gt;3,VLOOKUP(VALUE(B205),PROYECCIONES!B:D,3,FALSE),0)),1 + COUNTIF($A$2:A204,"&gt;0"))</f>
        <v>0</v>
      </c>
    </row>
    <row r="206" spans="1:7">
      <c r="A206">
        <f>IFERROR(IF(B206="",0,IF(VALUE(LEFT(B206,1))&gt;3,VLOOKUP(VALUE(B206),PROYECCIONES!B:D,3,FALSE),0)),1 + COUNTIF($A$2:A205,"&gt;0"))</f>
        <v>0</v>
      </c>
    </row>
    <row r="207" spans="1:7">
      <c r="A207">
        <f>IFERROR(IF(B207="",0,IF(VALUE(LEFT(B207,1))&gt;3,VLOOKUP(VALUE(B207),PROYECCIONES!B:D,3,FALSE),0)),1 + COUNTIF($A$2:A206,"&gt;0"))</f>
        <v>0</v>
      </c>
    </row>
    <row r="208" spans="1:7">
      <c r="A208">
        <f>IFERROR(IF(B208="",0,IF(VALUE(LEFT(B208,1))&gt;3,VLOOKUP(VALUE(B208),PROYECCIONES!B:D,3,FALSE),0)),1 + COUNTIF($A$2:A207,"&gt;0"))</f>
        <v>0</v>
      </c>
    </row>
    <row r="209" spans="1:1">
      <c r="A209">
        <f>IFERROR(IF(B209="",0,IF(VALUE(LEFT(B209,1))&gt;3,VLOOKUP(VALUE(B209),PROYECCIONES!B:D,3,FALSE),0)),1 + COUNTIF($A$2:A208,"&gt;0"))</f>
        <v>0</v>
      </c>
    </row>
    <row r="210" spans="1:1">
      <c r="A210">
        <f>IFERROR(IF(B210="",0,IF(VALUE(LEFT(B210,1))&gt;3,VLOOKUP(VALUE(B210),PROYECCIONES!B:D,3,FALSE),0)),1 + COUNTIF($A$2:A209,"&gt;0"))</f>
        <v>0</v>
      </c>
    </row>
    <row r="211" spans="1:1">
      <c r="A211">
        <f>IFERROR(IF(B211="",0,IF(VALUE(LEFT(B211,1))&gt;3,VLOOKUP(VALUE(B211),PROYECCIONES!B:D,3,FALSE),0)),1 + COUNTIF($A$2:A210,"&gt;0"))</f>
        <v>0</v>
      </c>
    </row>
    <row r="212" spans="1:1">
      <c r="A212">
        <f>IFERROR(IF(B212="",0,IF(VALUE(LEFT(B212,1))&gt;3,VLOOKUP(VALUE(B212),PROYECCIONES!B:D,3,FALSE),0)),1 + COUNTIF($A$2:A211,"&gt;0"))</f>
        <v>0</v>
      </c>
    </row>
    <row r="213" spans="1:1">
      <c r="A213">
        <f>IFERROR(IF(B213="",0,IF(VALUE(LEFT(B213,1))&gt;3,VLOOKUP(VALUE(B213),PROYECCIONES!B:D,3,FALSE),0)),1 + COUNTIF($A$2:A212,"&gt;0"))</f>
        <v>0</v>
      </c>
    </row>
    <row r="214" spans="1:1">
      <c r="A214">
        <f>IFERROR(IF(B214="",0,IF(VALUE(LEFT(B214,1))&gt;3,VLOOKUP(VALUE(B214),PROYECCIONES!B:D,3,FALSE),0)),1 + COUNTIF($A$2:A213,"&gt;0"))</f>
        <v>0</v>
      </c>
    </row>
    <row r="215" spans="1:1">
      <c r="A215">
        <f>IFERROR(IF(B215="",0,IF(VALUE(LEFT(B215,1))&gt;3,VLOOKUP(VALUE(B215),PROYECCIONES!B:D,3,FALSE),0)),1 + COUNTIF($A$2:A214,"&gt;0"))</f>
        <v>0</v>
      </c>
    </row>
    <row r="216" spans="1:1">
      <c r="A216">
        <f>IFERROR(IF(B216="",0,IF(VALUE(LEFT(B216,1))&gt;3,VLOOKUP(VALUE(B216),PROYECCIONES!B:D,3,FALSE),0)),1 + COUNTIF($A$2:A215,"&gt;0"))</f>
        <v>0</v>
      </c>
    </row>
    <row r="217" spans="1:1">
      <c r="A217">
        <f>IFERROR(IF(B217="",0,IF(VALUE(LEFT(B217,1))&gt;3,VLOOKUP(VALUE(B217),PROYECCIONES!B:D,3,FALSE),0)),1 + COUNTIF($A$2:A216,"&gt;0"))</f>
        <v>0</v>
      </c>
    </row>
    <row r="218" spans="1:1">
      <c r="A218">
        <f>IFERROR(IF(B218="",0,IF(VALUE(LEFT(B218,1))&gt;3,VLOOKUP(VALUE(B218),PROYECCIONES!B:D,3,FALSE),0)),1 + COUNTIF($A$2:A217,"&gt;0"))</f>
        <v>0</v>
      </c>
    </row>
    <row r="219" spans="1:1">
      <c r="A219">
        <f>IFERROR(IF(B219="",0,IF(VALUE(LEFT(B219,1))&gt;3,VLOOKUP(VALUE(B219),PROYECCIONES!B:D,3,FALSE),0)),1 + COUNTIF($A$2:A218,"&gt;0"))</f>
        <v>0</v>
      </c>
    </row>
    <row r="220" spans="1:1">
      <c r="A220">
        <f>IFERROR(IF(B220="",0,IF(VALUE(LEFT(B220,1))&gt;3,VLOOKUP(VALUE(B220),PROYECCIONES!B:D,3,FALSE),0)),1 + COUNTIF($A$2:A219,"&gt;0"))</f>
        <v>0</v>
      </c>
    </row>
    <row r="221" spans="1:1">
      <c r="A221">
        <f>IFERROR(IF(B221="",0,IF(VALUE(LEFT(B221,1))&gt;3,VLOOKUP(VALUE(B221),PROYECCIONES!B:D,3,FALSE),0)),1 + COUNTIF($A$2:A220,"&gt;0"))</f>
        <v>0</v>
      </c>
    </row>
    <row r="222" spans="1:1">
      <c r="A222">
        <f>IFERROR(IF(B222="",0,IF(VALUE(LEFT(B222,1))&gt;3,VLOOKUP(VALUE(B222),PROYECCIONES!B:D,3,FALSE),0)),1 + COUNTIF($A$2:A221,"&gt;0"))</f>
        <v>0</v>
      </c>
    </row>
    <row r="223" spans="1:1">
      <c r="A223">
        <f>IFERROR(IF(B223="",0,IF(VALUE(LEFT(B223,1))&gt;3,VLOOKUP(VALUE(B223),PROYECCIONES!B:D,3,FALSE),0)),1 + COUNTIF($A$2:A222,"&gt;0"))</f>
        <v>0</v>
      </c>
    </row>
    <row r="224" spans="1:1">
      <c r="A224">
        <f>IFERROR(IF(B224="",0,IF(VALUE(LEFT(B224,1))&gt;3,VLOOKUP(VALUE(B224),PROYECCIONES!B:D,3,FALSE),0)),1 + COUNTIF($A$2:A223,"&gt;0"))</f>
        <v>0</v>
      </c>
    </row>
    <row r="225" spans="1:1">
      <c r="A225">
        <f>IFERROR(IF(B225="",0,IF(VALUE(LEFT(B225,1))&gt;3,VLOOKUP(VALUE(B225),PROYECCIONES!B:D,3,FALSE),0)),1 + COUNTIF($A$2:A224,"&gt;0"))</f>
        <v>0</v>
      </c>
    </row>
    <row r="226" spans="1:1">
      <c r="A226">
        <f>IFERROR(IF(B226="",0,IF(VALUE(LEFT(B226,1))&gt;3,VLOOKUP(VALUE(B226),PROYECCIONES!B:D,3,FALSE),0)),1 + COUNTIF($A$2:A225,"&gt;0"))</f>
        <v>0</v>
      </c>
    </row>
    <row r="227" spans="1:1">
      <c r="A227">
        <f>IFERROR(IF(B227="",0,IF(VALUE(LEFT(B227,1))&gt;3,VLOOKUP(VALUE(B227),PROYECCIONES!B:D,3,FALSE),0)),1 + COUNTIF($A$2:A226,"&gt;0"))</f>
        <v>0</v>
      </c>
    </row>
    <row r="228" spans="1:1">
      <c r="A228">
        <f>IFERROR(IF(B228="",0,IF(VALUE(LEFT(B228,1))&gt;3,VLOOKUP(VALUE(B228),PROYECCIONES!B:D,3,FALSE),0)),1 + COUNTIF($A$2:A227,"&gt;0"))</f>
        <v>0</v>
      </c>
    </row>
    <row r="229" spans="1:1">
      <c r="A229">
        <f>IFERROR(IF(B229="",0,IF(VALUE(LEFT(B229,1))&gt;3,VLOOKUP(VALUE(B229),PROYECCIONES!B:D,3,FALSE),0)),1 + COUNTIF($A$2:A228,"&gt;0"))</f>
        <v>0</v>
      </c>
    </row>
    <row r="230" spans="1:1">
      <c r="A230">
        <f>IFERROR(IF(B230="",0,IF(VALUE(LEFT(B230,1))&gt;3,VLOOKUP(VALUE(B230),PROYECCIONES!B:D,3,FALSE),0)),1 + COUNTIF($A$2:A229,"&gt;0"))</f>
        <v>0</v>
      </c>
    </row>
    <row r="231" spans="1:1">
      <c r="A231">
        <f>IFERROR(IF(B231="",0,IF(VALUE(LEFT(B231,1))&gt;3,VLOOKUP(VALUE(B231),PROYECCIONES!B:D,3,FALSE),0)),1 + COUNTIF($A$2:A230,"&gt;0"))</f>
        <v>0</v>
      </c>
    </row>
    <row r="232" spans="1:1">
      <c r="A232">
        <f>IFERROR(IF(B232="",0,IF(VALUE(LEFT(B232,1))&gt;3,VLOOKUP(VALUE(B232),PROYECCIONES!B:D,3,FALSE),0)),1 + COUNTIF($A$2:A231,"&gt;0"))</f>
        <v>0</v>
      </c>
    </row>
    <row r="233" spans="1:1">
      <c r="A233">
        <f>IFERROR(IF(B233="",0,IF(VALUE(LEFT(B233,1))&gt;3,VLOOKUP(VALUE(B233),PROYECCIONES!B:D,3,FALSE),0)),1 + COUNTIF($A$2:A232,"&gt;0"))</f>
        <v>0</v>
      </c>
    </row>
    <row r="234" spans="1:1">
      <c r="A234">
        <f>IFERROR(IF(B234="",0,IF(VALUE(LEFT(B234,1))&gt;3,VLOOKUP(VALUE(B234),PROYECCIONES!B:D,3,FALSE),0)),1 + COUNTIF($A$2:A233,"&gt;0"))</f>
        <v>0</v>
      </c>
    </row>
    <row r="235" spans="1:1">
      <c r="A235">
        <f>IFERROR(IF(B235="",0,IF(VALUE(LEFT(B235,1))&gt;3,VLOOKUP(VALUE(B235),PROYECCIONES!B:D,3,FALSE),0)),1 + COUNTIF($A$2:A234,"&gt;0"))</f>
        <v>0</v>
      </c>
    </row>
    <row r="236" spans="1:1">
      <c r="A236">
        <f>IFERROR(IF(B236="",0,IF(VALUE(LEFT(B236,1))&gt;3,VLOOKUP(VALUE(B236),PROYECCIONES!B:D,3,FALSE),0)),1 + COUNTIF($A$2:A235,"&gt;0"))</f>
        <v>0</v>
      </c>
    </row>
    <row r="237" spans="1:1">
      <c r="A237">
        <f>IFERROR(IF(B237="",0,IF(VALUE(LEFT(B237,1))&gt;3,VLOOKUP(VALUE(B237),PROYECCIONES!B:D,3,FALSE),0)),1 + COUNTIF($A$2:A236,"&gt;0"))</f>
        <v>0</v>
      </c>
    </row>
    <row r="238" spans="1:1">
      <c r="A238">
        <f>IFERROR(IF(B238="",0,IF(VALUE(LEFT(B238,1))&gt;3,VLOOKUP(VALUE(B238),PROYECCIONES!B:D,3,FALSE),0)),1 + COUNTIF($A$2:A237,"&gt;0"))</f>
        <v>0</v>
      </c>
    </row>
    <row r="239" spans="1:1">
      <c r="A239">
        <f>IFERROR(IF(B239="",0,IF(VALUE(LEFT(B239,1))&gt;3,VLOOKUP(VALUE(B239),PROYECCIONES!B:D,3,FALSE),0)),1 + COUNTIF($A$2:A238,"&gt;0"))</f>
        <v>0</v>
      </c>
    </row>
    <row r="240" spans="1:1">
      <c r="A240">
        <f>IFERROR(IF(B240="",0,IF(VALUE(LEFT(B240,1))&gt;3,VLOOKUP(VALUE(B240),PROYECCIONES!B:D,3,FALSE),0)),1 + COUNTIF($A$2:A239,"&gt;0"))</f>
        <v>0</v>
      </c>
    </row>
    <row r="241" spans="1:1">
      <c r="A241">
        <f>IFERROR(IF(B241="",0,IF(VALUE(LEFT(B241,1))&gt;3,VLOOKUP(VALUE(B241),PROYECCIONES!B:D,3,FALSE),0)),1 + COUNTIF($A$2:A240,"&gt;0"))</f>
        <v>0</v>
      </c>
    </row>
    <row r="242" spans="1:1">
      <c r="A242">
        <f>IFERROR(IF(B242="",0,IF(VALUE(LEFT(B242,1))&gt;3,VLOOKUP(VALUE(B242),PROYECCIONES!B:D,3,FALSE),0)),1 + COUNTIF($A$2:A241,"&gt;0"))</f>
        <v>0</v>
      </c>
    </row>
    <row r="243" spans="1:1">
      <c r="A243">
        <f>IFERROR(IF(B243="",0,IF(VALUE(LEFT(B243,1))&gt;3,VLOOKUP(VALUE(B243),PROYECCIONES!B:D,3,FALSE),0)),1 + COUNTIF($A$2:A242,"&gt;0"))</f>
        <v>0</v>
      </c>
    </row>
    <row r="244" spans="1:1">
      <c r="A244">
        <f>IFERROR(IF(B244="",0,IF(VALUE(LEFT(B244,1))&gt;3,VLOOKUP(VALUE(B244),PROYECCIONES!B:D,3,FALSE),0)),1 + COUNTIF($A$2:A243,"&gt;0"))</f>
        <v>0</v>
      </c>
    </row>
    <row r="245" spans="1:1">
      <c r="A245">
        <f>IFERROR(IF(B245="",0,IF(VALUE(LEFT(B245,1))&gt;3,VLOOKUP(VALUE(B245),PROYECCIONES!B:D,3,FALSE),0)),1 + COUNTIF($A$2:A244,"&gt;0"))</f>
        <v>0</v>
      </c>
    </row>
    <row r="246" spans="1:1">
      <c r="A246">
        <f>IFERROR(IF(B246="",0,IF(VALUE(LEFT(B246,1))&gt;3,VLOOKUP(VALUE(B246),PROYECCIONES!B:D,3,FALSE),0)),1 + COUNTIF($A$2:A245,"&gt;0"))</f>
        <v>0</v>
      </c>
    </row>
    <row r="247" spans="1:1">
      <c r="A247">
        <f>IFERROR(IF(B247="",0,IF(VALUE(LEFT(B247,1))&gt;3,VLOOKUP(VALUE(B247),PROYECCIONES!B:D,3,FALSE),0)),1 + COUNTIF($A$2:A246,"&gt;0"))</f>
        <v>0</v>
      </c>
    </row>
    <row r="248" spans="1:1">
      <c r="A248">
        <f>IFERROR(IF(B248="",0,IF(VALUE(LEFT(B248,1))&gt;3,VLOOKUP(VALUE(B248),PROYECCIONES!B:D,3,FALSE),0)),1 + COUNTIF($A$2:A247,"&gt;0"))</f>
        <v>0</v>
      </c>
    </row>
    <row r="249" spans="1:1">
      <c r="A249">
        <f>IFERROR(IF(B249="",0,IF(VALUE(LEFT(B249,1))&gt;3,VLOOKUP(VALUE(B249),PROYECCIONES!B:D,3,FALSE),0)),1 + COUNTIF($A$2:A248,"&gt;0"))</f>
        <v>0</v>
      </c>
    </row>
    <row r="250" spans="1:1">
      <c r="A250">
        <f>IFERROR(IF(B250="",0,IF(VALUE(LEFT(B250,1))&gt;3,VLOOKUP(VALUE(B250),PROYECCIONES!B:D,3,FALSE),0)),1 + COUNTIF($A$2:A249,"&gt;0"))</f>
        <v>0</v>
      </c>
    </row>
    <row r="251" spans="1:1">
      <c r="A251">
        <f>IFERROR(IF(B251="",0,IF(VALUE(LEFT(B251,1))&gt;3,VLOOKUP(VALUE(B251),PROYECCIONES!B:D,3,FALSE),0)),1 + COUNTIF($A$2:A250,"&gt;0"))</f>
        <v>0</v>
      </c>
    </row>
    <row r="252" spans="1:1">
      <c r="A252">
        <f>IFERROR(IF(B252="",0,IF(VALUE(LEFT(B252,1))&gt;3,VLOOKUP(VALUE(B252),PROYECCIONES!B:D,3,FALSE),0)),1 + COUNTIF($A$2:A251,"&gt;0"))</f>
        <v>0</v>
      </c>
    </row>
    <row r="253" spans="1:1">
      <c r="A253">
        <f>IFERROR(IF(B253="",0,IF(VALUE(LEFT(B253,1))&gt;3,VLOOKUP(VALUE(B253),PROYECCIONES!B:D,3,FALSE),0)),1 + COUNTIF($A$2:A252,"&gt;0"))</f>
        <v>0</v>
      </c>
    </row>
    <row r="254" spans="1:1">
      <c r="A254">
        <f>IFERROR(IF(B254="",0,IF(VALUE(LEFT(B254,1))&gt;3,VLOOKUP(VALUE(B254),PROYECCIONES!B:D,3,FALSE),0)),1 + COUNTIF($A$2:A253,"&gt;0"))</f>
        <v>0</v>
      </c>
    </row>
    <row r="255" spans="1:1">
      <c r="A255">
        <f>IFERROR(IF(B255="",0,IF(VALUE(LEFT(B255,1))&gt;3,VLOOKUP(VALUE(B255),PROYECCIONES!B:D,3,FALSE),0)),1 + COUNTIF($A$2:A254,"&gt;0"))</f>
        <v>0</v>
      </c>
    </row>
    <row r="256" spans="1:1">
      <c r="A256">
        <f>IFERROR(IF(B256="",0,IF(VALUE(LEFT(B256,1))&gt;3,VLOOKUP(VALUE(B256),PROYECCIONES!B:D,3,FALSE),0)),1 + COUNTIF($A$2:A255,"&gt;0"))</f>
        <v>0</v>
      </c>
    </row>
    <row r="257" spans="1:1">
      <c r="A257">
        <f>IFERROR(IF(B257="",0,IF(VALUE(LEFT(B257,1))&gt;3,VLOOKUP(VALUE(B257),PROYECCIONES!B:D,3,FALSE),0)),1 + COUNTIF($A$2:A256,"&gt;0"))</f>
        <v>0</v>
      </c>
    </row>
    <row r="258" spans="1:1">
      <c r="A258">
        <f>IFERROR(IF(B258="",0,IF(VALUE(LEFT(B258,1))&gt;3,VLOOKUP(VALUE(B258),PROYECCIONES!B:D,3,FALSE),0)),1 + COUNTIF($A$2:A257,"&gt;0"))</f>
        <v>0</v>
      </c>
    </row>
    <row r="259" spans="1:1">
      <c r="A259">
        <f>IFERROR(IF(B259="",0,IF(VALUE(LEFT(B259,1))&gt;3,VLOOKUP(VALUE(B259),PROYECCIONES!B:D,3,FALSE),0)),1 + COUNTIF($A$2:A258,"&gt;0"))</f>
        <v>0</v>
      </c>
    </row>
    <row r="260" spans="1:1">
      <c r="A260">
        <f>IFERROR(IF(B260="",0,IF(VALUE(LEFT(B260,1))&gt;3,VLOOKUP(VALUE(B260),PROYECCIONES!B:D,3,FALSE),0)),1 + COUNTIF($A$2:A259,"&gt;0"))</f>
        <v>0</v>
      </c>
    </row>
    <row r="261" spans="1:1">
      <c r="A261">
        <f>IFERROR(IF(B261="",0,IF(VALUE(LEFT(B261,1))&gt;3,VLOOKUP(VALUE(B261),PROYECCIONES!B:D,3,FALSE),0)),1 + COUNTIF($A$2:A260,"&gt;0"))</f>
        <v>0</v>
      </c>
    </row>
    <row r="262" spans="1:1">
      <c r="A262">
        <f>IFERROR(IF(B262="",0,IF(VALUE(LEFT(B262,1))&gt;3,VLOOKUP(VALUE(B262),PROYECCIONES!B:D,3,FALSE),0)),1 + COUNTIF($A$2:A261,"&gt;0"))</f>
        <v>0</v>
      </c>
    </row>
    <row r="263" spans="1:1">
      <c r="A263">
        <f>IFERROR(IF(B263="",0,IF(VALUE(LEFT(B263,1))&gt;3,VLOOKUP(VALUE(B263),PROYECCIONES!B:D,3,FALSE),0)),1 + COUNTIF($A$2:A262,"&gt;0"))</f>
        <v>0</v>
      </c>
    </row>
    <row r="264" spans="1:1">
      <c r="A264">
        <f>IFERROR(IF(B264="",0,IF(VALUE(LEFT(B264,1))&gt;3,VLOOKUP(VALUE(B264),PROYECCIONES!B:D,3,FALSE),0)),1 + COUNTIF($A$2:A263,"&gt;0"))</f>
        <v>0</v>
      </c>
    </row>
    <row r="265" spans="1:1">
      <c r="A265">
        <f>IFERROR(IF(B265="",0,IF(VALUE(LEFT(B265,1))&gt;3,VLOOKUP(VALUE(B265),PROYECCIONES!B:D,3,FALSE),0)),1 + COUNTIF($A$2:A264,"&gt;0"))</f>
        <v>0</v>
      </c>
    </row>
    <row r="266" spans="1:1">
      <c r="A266">
        <f>IFERROR(IF(B266="",0,IF(VALUE(LEFT(B266,1))&gt;3,VLOOKUP(VALUE(B266),PROYECCIONES!B:D,3,FALSE),0)),1 + COUNTIF($A$2:A265,"&gt;0"))</f>
        <v>0</v>
      </c>
    </row>
    <row r="267" spans="1:1">
      <c r="A267">
        <f>IFERROR(IF(B267="",0,IF(VALUE(LEFT(B267,1))&gt;3,VLOOKUP(VALUE(B267),PROYECCIONES!B:D,3,FALSE),0)),1 + COUNTIF($A$2:A266,"&gt;0"))</f>
        <v>0</v>
      </c>
    </row>
    <row r="268" spans="1:1">
      <c r="A268">
        <f>IFERROR(IF(B268="",0,IF(VALUE(LEFT(B268,1))&gt;3,VLOOKUP(VALUE(B268),PROYECCIONES!B:D,3,FALSE),0)),1 + COUNTIF($A$2:A267,"&gt;0"))</f>
        <v>0</v>
      </c>
    </row>
    <row r="269" spans="1:1">
      <c r="A269">
        <f>IFERROR(IF(B269="",0,IF(VALUE(LEFT(B269,1))&gt;3,VLOOKUP(VALUE(B269),PROYECCIONES!B:D,3,FALSE),0)),1 + COUNTIF($A$2:A268,"&gt;0"))</f>
        <v>0</v>
      </c>
    </row>
    <row r="270" spans="1:1">
      <c r="A270">
        <f>IFERROR(IF(B270="",0,IF(VALUE(LEFT(B270,1))&gt;3,VLOOKUP(VALUE(B270),PROYECCIONES!B:D,3,FALSE),0)),1 + COUNTIF($A$2:A269,"&gt;0"))</f>
        <v>0</v>
      </c>
    </row>
    <row r="271" spans="1:1">
      <c r="A271">
        <f>IFERROR(IF(B271="",0,IF(VALUE(LEFT(B271,1))&gt;3,VLOOKUP(VALUE(B271),PROYECCIONES!B:D,3,FALSE),0)),1 + COUNTIF($A$2:A270,"&gt;0"))</f>
        <v>0</v>
      </c>
    </row>
    <row r="272" spans="1:1">
      <c r="A272">
        <f>IFERROR(IF(B272="",0,IF(VALUE(LEFT(B272,1))&gt;3,VLOOKUP(VALUE(B272),PROYECCIONES!B:D,3,FALSE),0)),1 + COUNTIF($A$2:A271,"&gt;0"))</f>
        <v>0</v>
      </c>
    </row>
    <row r="273" spans="1:1">
      <c r="A273">
        <f>IFERROR(IF(B273="",0,IF(VALUE(LEFT(B273,1))&gt;3,VLOOKUP(VALUE(B273),PROYECCIONES!B:D,3,FALSE),0)),1 + COUNTIF($A$2:A272,"&gt;0"))</f>
        <v>0</v>
      </c>
    </row>
    <row r="274" spans="1:1">
      <c r="A274">
        <f>IFERROR(IF(B274="",0,IF(VALUE(LEFT(B274,1))&gt;3,VLOOKUP(VALUE(B274),PROYECCIONES!B:D,3,FALSE),0)),1 + COUNTIF($A$2:A273,"&gt;0"))</f>
        <v>0</v>
      </c>
    </row>
    <row r="275" spans="1:1">
      <c r="A275">
        <f>IFERROR(IF(B275="",0,IF(VALUE(LEFT(B275,1))&gt;3,VLOOKUP(VALUE(B275),PROYECCIONES!B:D,3,FALSE),0)),1 + COUNTIF($A$2:A274,"&gt;0"))</f>
        <v>0</v>
      </c>
    </row>
    <row r="276" spans="1:1">
      <c r="A276">
        <f>IFERROR(IF(B276="",0,IF(VALUE(LEFT(B276,1))&gt;3,VLOOKUP(VALUE(B276),PROYECCIONES!B:D,3,FALSE),0)),1 + COUNTIF($A$2:A275,"&gt;0"))</f>
        <v>0</v>
      </c>
    </row>
    <row r="277" spans="1:1">
      <c r="A277">
        <f>IFERROR(IF(B277="",0,IF(VALUE(LEFT(B277,1))&gt;3,VLOOKUP(VALUE(B277),PROYECCIONES!B:D,3,FALSE),0)),1 + COUNTIF($A$2:A276,"&gt;0"))</f>
        <v>0</v>
      </c>
    </row>
    <row r="278" spans="1:1">
      <c r="A278">
        <f>IFERROR(IF(B278="",0,IF(VALUE(LEFT(B278,1))&gt;3,VLOOKUP(VALUE(B278),PROYECCIONES!B:D,3,FALSE),0)),1 + COUNTIF($A$2:A277,"&gt;0"))</f>
        <v>0</v>
      </c>
    </row>
    <row r="279" spans="1:1">
      <c r="A279">
        <f>IFERROR(IF(B279="",0,IF(VALUE(LEFT(B279,1))&gt;3,VLOOKUP(VALUE(B279),PROYECCIONES!B:D,3,FALSE),0)),1 + COUNTIF($A$2:A278,"&gt;0"))</f>
        <v>0</v>
      </c>
    </row>
    <row r="280" spans="1:1">
      <c r="A280">
        <f>IFERROR(IF(B280="",0,IF(VALUE(LEFT(B280,1))&gt;3,VLOOKUP(VALUE(B280),PROYECCIONES!B:D,3,FALSE),0)),1 + COUNTIF($A$2:A279,"&gt;0"))</f>
        <v>0</v>
      </c>
    </row>
    <row r="281" spans="1:1">
      <c r="A281">
        <f>IFERROR(IF(B281="",0,IF(VALUE(LEFT(B281,1))&gt;3,VLOOKUP(VALUE(B281),PROYECCIONES!B:D,3,FALSE),0)),1 + COUNTIF($A$2:A280,"&gt;0"))</f>
        <v>0</v>
      </c>
    </row>
    <row r="282" spans="1:1">
      <c r="A282">
        <f>IFERROR(IF(B282="",0,IF(VALUE(LEFT(B282,1))&gt;3,VLOOKUP(VALUE(B282),PROYECCIONES!B:D,3,FALSE),0)),1 + COUNTIF($A$2:A281,"&gt;0"))</f>
        <v>0</v>
      </c>
    </row>
    <row r="283" spans="1:1">
      <c r="A283">
        <f>IFERROR(IF(B283="",0,IF(VALUE(LEFT(B283,1))&gt;3,VLOOKUP(VALUE(B283),PROYECCIONES!B:D,3,FALSE),0)),1 + COUNTIF($A$2:A282,"&gt;0"))</f>
        <v>0</v>
      </c>
    </row>
    <row r="284" spans="1:1">
      <c r="A284">
        <f>IFERROR(IF(B284="",0,IF(VALUE(LEFT(B284,1))&gt;3,VLOOKUP(VALUE(B284),PROYECCIONES!B:D,3,FALSE),0)),1 + COUNTIF($A$2:A283,"&gt;0"))</f>
        <v>0</v>
      </c>
    </row>
    <row r="285" spans="1:1">
      <c r="A285">
        <f>IFERROR(IF(B285="",0,IF(VALUE(LEFT(B285,1))&gt;3,VLOOKUP(VALUE(B285),PROYECCIONES!B:D,3,FALSE),0)),1 + COUNTIF($A$2:A284,"&gt;0"))</f>
        <v>0</v>
      </c>
    </row>
    <row r="286" spans="1:1">
      <c r="A286">
        <f>IFERROR(IF(B286="",0,IF(VALUE(LEFT(B286,1))&gt;3,VLOOKUP(VALUE(B286),PROYECCIONES!B:D,3,FALSE),0)),1 + COUNTIF($A$2:A285,"&gt;0"))</f>
        <v>0</v>
      </c>
    </row>
    <row r="287" spans="1:1">
      <c r="A287">
        <f>IFERROR(IF(B287="",0,IF(VALUE(LEFT(B287,1))&gt;3,VLOOKUP(VALUE(B287),PROYECCIONES!B:D,3,FALSE),0)),1 + COUNTIF($A$2:A286,"&gt;0"))</f>
        <v>0</v>
      </c>
    </row>
    <row r="288" spans="1:1">
      <c r="A288">
        <f>IFERROR(IF(B288="",0,IF(VALUE(LEFT(B288,1))&gt;3,VLOOKUP(VALUE(B288),PROYECCIONES!B:D,3,FALSE),0)),1 + COUNTIF($A$2:A287,"&gt;0"))</f>
        <v>0</v>
      </c>
    </row>
    <row r="289" spans="1:1">
      <c r="A289">
        <f>IFERROR(IF(B289="",0,IF(VALUE(LEFT(B289,1))&gt;3,VLOOKUP(VALUE(B289),PROYECCIONES!B:D,3,FALSE),0)),1 + COUNTIF($A$2:A288,"&gt;0"))</f>
        <v>0</v>
      </c>
    </row>
    <row r="290" spans="1:1">
      <c r="A290">
        <f>IFERROR(IF(B290="",0,IF(VALUE(LEFT(B290,1))&gt;3,VLOOKUP(VALUE(B290),PROYECCIONES!B:D,3,FALSE),0)),1 + COUNTIF($A$2:A289,"&gt;0"))</f>
        <v>0</v>
      </c>
    </row>
    <row r="291" spans="1:1">
      <c r="A291">
        <f>IFERROR(IF(B291="",0,IF(VALUE(LEFT(B291,1))&gt;3,VLOOKUP(VALUE(B291),PROYECCIONES!B:D,3,FALSE),0)),1 + COUNTIF($A$2:A290,"&gt;0"))</f>
        <v>0</v>
      </c>
    </row>
    <row r="292" spans="1:1">
      <c r="A292">
        <f>IFERROR(IF(B292="",0,IF(VALUE(LEFT(B292,1))&gt;3,VLOOKUP(VALUE(B292),PROYECCIONES!B:D,3,FALSE),0)),1 + COUNTIF($A$2:A291,"&gt;0"))</f>
        <v>0</v>
      </c>
    </row>
    <row r="293" spans="1:1">
      <c r="A293">
        <f>IFERROR(IF(B293="",0,IF(VALUE(LEFT(B293,1))&gt;3,VLOOKUP(VALUE(B293),PROYECCIONES!B:D,3,FALSE),0)),1 + COUNTIF($A$2:A292,"&gt;0"))</f>
        <v>0</v>
      </c>
    </row>
    <row r="294" spans="1:1">
      <c r="A294">
        <f>IFERROR(IF(B294="",0,IF(VALUE(LEFT(B294,1))&gt;3,VLOOKUP(VALUE(B294),PROYECCIONES!B:D,3,FALSE),0)),1 + COUNTIF($A$2:A293,"&gt;0"))</f>
        <v>0</v>
      </c>
    </row>
    <row r="295" spans="1:1">
      <c r="A295">
        <f>IFERROR(IF(B295="",0,IF(VALUE(LEFT(B295,1))&gt;3,VLOOKUP(VALUE(B295),PROYECCIONES!B:D,3,FALSE),0)),1 + COUNTIF($A$2:A294,"&gt;0"))</f>
        <v>0</v>
      </c>
    </row>
    <row r="296" spans="1:1">
      <c r="A296">
        <f>IFERROR(IF(B296="",0,IF(VALUE(LEFT(B296,1))&gt;3,VLOOKUP(VALUE(B296),PROYECCIONES!B:D,3,FALSE),0)),1 + COUNTIF($A$2:A295,"&gt;0"))</f>
        <v>0</v>
      </c>
    </row>
    <row r="297" spans="1:1">
      <c r="A297">
        <f>IFERROR(IF(B297="",0,IF(VALUE(LEFT(B297,1))&gt;3,VLOOKUP(VALUE(B297),PROYECCIONES!B:D,3,FALSE),0)),1 + COUNTIF($A$2:A296,"&gt;0"))</f>
        <v>0</v>
      </c>
    </row>
    <row r="298" spans="1:1">
      <c r="A298">
        <f>IFERROR(IF(B298="",0,IF(VALUE(LEFT(B298,1))&gt;3,VLOOKUP(VALUE(B298),PROYECCIONES!B:D,3,FALSE),0)),1 + COUNTIF($A$2:A297,"&gt;0"))</f>
        <v>0</v>
      </c>
    </row>
    <row r="299" spans="1:1">
      <c r="A299">
        <f>IFERROR(IF(B299="",0,IF(VALUE(LEFT(B299,1))&gt;3,VLOOKUP(VALUE(B299),PROYECCIONES!B:D,3,FALSE),0)),1 + COUNTIF($A$2:A298,"&gt;0"))</f>
        <v>0</v>
      </c>
    </row>
    <row r="300" spans="1:1">
      <c r="A300">
        <f>IFERROR(IF(B300="",0,IF(VALUE(LEFT(B300,1))&gt;3,VLOOKUP(VALUE(B300),PROYECCIONES!B:D,3,FALSE),0)),1 + COUNTIF($A$2:A299,"&gt;0"))</f>
        <v>0</v>
      </c>
    </row>
  </sheetData>
  <autoFilter ref="A2:I300" xr:uid="{EC1BB005-C061-4BB9-888B-C42BFA3E17A1}"/>
  <mergeCells count="4">
    <mergeCell ref="B1:C1"/>
    <mergeCell ref="D1:D2"/>
    <mergeCell ref="E1:F1"/>
    <mergeCell ref="G1:G2"/>
  </mergeCells>
  <conditionalFormatting sqref="B202:B1048576">
    <cfRule type="expression" dxfId="8" priority="1">
      <formula>$A202="No Agregada"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PROYECCIONES</vt:lpstr>
      <vt:lpstr>Presupuesto Mensual</vt:lpstr>
      <vt:lpstr>Gastos Proyectados</vt:lpstr>
      <vt:lpstr>Prov Impuesto Dic 31</vt:lpstr>
      <vt:lpstr>Balance a Ene</vt:lpstr>
      <vt:lpstr>Balance a Feb</vt:lpstr>
      <vt:lpstr>Balance a Mar</vt:lpstr>
      <vt:lpstr>Balance a Abr</vt:lpstr>
      <vt:lpstr>Balance a May</vt:lpstr>
      <vt:lpstr>Balance a Jun</vt:lpstr>
      <vt:lpstr>Balance a Jul</vt:lpstr>
      <vt:lpstr>Balance a Ago</vt:lpstr>
      <vt:lpstr>Balance a Sep</vt:lpstr>
      <vt:lpstr>Balance a Oct</vt:lpstr>
      <vt:lpstr>Balance a Nov</vt:lpstr>
      <vt:lpstr>Balance a 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SPG S.A.S.</dc:creator>
  <cp:lastModifiedBy>Malcolm Edghill</cp:lastModifiedBy>
  <cp:lastPrinted>2021-09-16T21:49:42Z</cp:lastPrinted>
  <dcterms:created xsi:type="dcterms:W3CDTF">2019-10-15T18:45:56Z</dcterms:created>
  <dcterms:modified xsi:type="dcterms:W3CDTF">2022-09-30T23:33:46Z</dcterms:modified>
</cp:coreProperties>
</file>